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310" activeTab="0"/>
  </bookViews>
  <sheets>
    <sheet name="Standaard formulier SMP" sheetId="1" r:id="rId1"/>
    <sheet name="Namen" sheetId="2" r:id="rId2"/>
    <sheet name="Gegevens" sheetId="3" r:id="rId3"/>
    <sheet name="Bijschrijfsoorten" sheetId="4" r:id="rId4"/>
    <sheet name="Blad1" sheetId="5" state="hidden" r:id="rId5"/>
  </sheets>
  <definedNames>
    <definedName name="_tel1">'Standaard formulier SMP'!$E$12</definedName>
    <definedName name="_tel2">'Standaard formulier SMP'!$E$17</definedName>
    <definedName name="Aant_formulieren">'Standaard formulier SMP'!$G$24</definedName>
    <definedName name="Aantal">'Namen'!$G$3:$G$11</definedName>
    <definedName name="adres1">'Standaard formulier SMP'!$E$10</definedName>
    <definedName name="adres2">'Standaard formulier SMP'!$E$15</definedName>
    <definedName name="_xlnm.Print_Area" localSheetId="0">'Standaard formulier SMP'!$B$1:$N$188</definedName>
    <definedName name="Afgeknotte_strandgaper">'Standaard formulier SMP'!$F$99</definedName>
    <definedName name="Afgeknotte_strandgaper_d">'Standaard formulier SMP'!$G$99</definedName>
    <definedName name="Afgeknotte_strandgaper_v">'Standaard formulier SMP'!$H$99</definedName>
    <definedName name="afstand">'Standaard formulier SMP'!$L$22</definedName>
    <definedName name="Amerikaanse_boormossel">'Standaard formulier SMP'!$F$102</definedName>
    <definedName name="Amerikaanse_boormossel_d">'Standaard formulier SMP'!$G$102</definedName>
    <definedName name="Amerikaanse_boormossel_v">'Standaard formulier SMP'!$H$102</definedName>
    <definedName name="Amerikaanse_ribkwal">'Standaard formulier SMP'!$F$38</definedName>
    <definedName name="Amerikaanse_zwaardschede">'Standaard formulier SMP'!$F$85</definedName>
    <definedName name="Amerikaanse_zwaardschede_d">'Standaard formulier SMP'!$G$85</definedName>
    <definedName name="Amerikaanse_zwaardschede_v">'Standaard formulier SMP'!$H$85</definedName>
    <definedName name="Begintijd">'Standaard formulier SMP'!$E$25</definedName>
    <definedName name="Bij_ab01">'Standaard formulier SMP'!$G$154</definedName>
    <definedName name="Bij_ab02">'Standaard formulier SMP'!$G$155</definedName>
    <definedName name="Bij_ab03">'Standaard formulier SMP'!$G$156</definedName>
    <definedName name="Bij_ab04">'Standaard formulier SMP'!$G$157</definedName>
    <definedName name="Bij_ab05">'Standaard formulier SMP'!$G$158</definedName>
    <definedName name="Bij_ab06">'Standaard formulier SMP'!$G$159</definedName>
    <definedName name="Bij_ab07">'Standaard formulier SMP'!$G$160</definedName>
    <definedName name="Bij_ab08">'Standaard formulier SMP'!$G$161</definedName>
    <definedName name="Bij_ab09">'Standaard formulier SMP'!$G$162</definedName>
    <definedName name="Bij_ab10">'Standaard formulier SMP'!$G$163</definedName>
    <definedName name="Bij_ab11">'Standaard formulier SMP'!$G$164</definedName>
    <definedName name="Bij_ab12">'Standaard formulier SMP'!$G$165</definedName>
    <definedName name="Bij_ab13">'Standaard formulier SMP'!$G$166</definedName>
    <definedName name="Bij_ab14">'Standaard formulier SMP'!$G$167</definedName>
    <definedName name="Bij_ab15">'Standaard formulier SMP'!$G$168</definedName>
    <definedName name="Bij_ab16">'Standaard formulier SMP'!$G$169</definedName>
    <definedName name="Bij_ab17">'Standaard formulier SMP'!$G$170</definedName>
    <definedName name="Bij_ab18">'Standaard formulier SMP'!$G$171</definedName>
    <definedName name="Bij_ab19">'Standaard formulier SMP'!$G$172</definedName>
    <definedName name="Bij_ab20">'Standaard formulier SMP'!$G$173</definedName>
    <definedName name="Bij_ab21">'Standaard formulier SMP'!$G$174</definedName>
    <definedName name="Bij_ab22">'Standaard formulier SMP'!$G$175</definedName>
    <definedName name="Bij_ab23">'Standaard formulier SMP'!$G$176</definedName>
    <definedName name="Bij_ab24">'Standaard formulier SMP'!$G$177</definedName>
    <definedName name="Bij_ab25">'Standaard formulier SMP'!$G$178</definedName>
    <definedName name="Bij_ab26">'Standaard formulier SMP'!$G$179</definedName>
    <definedName name="Bij_ab27">'Standaard formulier SMP'!$G$180</definedName>
    <definedName name="Bij_ab28">'Standaard formulier SMP'!$G$181</definedName>
    <definedName name="Bij_ab29">'Standaard formulier SMP'!$G$182</definedName>
    <definedName name="Bij_ab30">'Standaard formulier SMP'!$G$183</definedName>
    <definedName name="Bij_cat01">'Standaard formulier SMP'!$F$154</definedName>
    <definedName name="Bij_cat02">'Standaard formulier SMP'!$F$155</definedName>
    <definedName name="Bij_cat03">'Standaard formulier SMP'!$F$156</definedName>
    <definedName name="Bij_cat04">'Standaard formulier SMP'!$F$157</definedName>
    <definedName name="Bij_cat05">'Standaard formulier SMP'!$F$158</definedName>
    <definedName name="Bij_cat06">'Standaard formulier SMP'!$F$159</definedName>
    <definedName name="Bij_cat07">'Standaard formulier SMP'!$F$160</definedName>
    <definedName name="Bij_cat08">'Standaard formulier SMP'!$F$161</definedName>
    <definedName name="Bij_cat09">'Standaard formulier SMP'!$F$162</definedName>
    <definedName name="Bij_cat10">'Standaard formulier SMP'!$F$163</definedName>
    <definedName name="Bij_cat11">'Standaard formulier SMP'!$F$164</definedName>
    <definedName name="Bij_cat12">'Standaard formulier SMP'!$F$165</definedName>
    <definedName name="Bij_cat13">'Standaard formulier SMP'!$F$166</definedName>
    <definedName name="Bij_cat14">'Standaard formulier SMP'!$F$167</definedName>
    <definedName name="Bij_cat15">'Standaard formulier SMP'!$F$168</definedName>
    <definedName name="Bij_cat16">'Standaard formulier SMP'!$F$169</definedName>
    <definedName name="Bij_cat17">'Standaard formulier SMP'!$F$170</definedName>
    <definedName name="Bij_cat18">'Standaard formulier SMP'!$F$171</definedName>
    <definedName name="Bij_cat19">'Standaard formulier SMP'!$F$172</definedName>
    <definedName name="Bij_cat20">'Standaard formulier SMP'!$F$173</definedName>
    <definedName name="Bij_cat21">'Standaard formulier SMP'!$F$174</definedName>
    <definedName name="Bij_cat22">'Standaard formulier SMP'!$F$175</definedName>
    <definedName name="Bij_cat23">'Standaard formulier SMP'!$F$176</definedName>
    <definedName name="Bij_cat24">'Standaard formulier SMP'!$F$177</definedName>
    <definedName name="Bij_cat25">'Standaard formulier SMP'!$F$178</definedName>
    <definedName name="Bij_cat26">'Standaard formulier SMP'!$F$179</definedName>
    <definedName name="Bij_cat27">'Standaard formulier SMP'!$F$180</definedName>
    <definedName name="Bij_cat28">'Standaard formulier SMP'!$F$181</definedName>
    <definedName name="Bij_cat29">'Standaard formulier SMP'!$F$182</definedName>
    <definedName name="Bij_cat30">'Standaard formulier SMP'!$F$183</definedName>
    <definedName name="Bij_lat01">'Standaard formulier SMP'!$D$154</definedName>
    <definedName name="Bij_lat02">'Standaard formulier SMP'!$D$155</definedName>
    <definedName name="Bij_lat03">'Standaard formulier SMP'!$D$156</definedName>
    <definedName name="Bij_lat04">'Standaard formulier SMP'!$D$157</definedName>
    <definedName name="Bij_lat05">'Standaard formulier SMP'!$D$158</definedName>
    <definedName name="Bij_lat06">'Standaard formulier SMP'!$D$159</definedName>
    <definedName name="Bij_lat07">'Standaard formulier SMP'!$D$160</definedName>
    <definedName name="Bij_lat08">'Standaard formulier SMP'!$D$161</definedName>
    <definedName name="Bij_lat09">'Standaard formulier SMP'!$D$162</definedName>
    <definedName name="Bij_lat10">'Standaard formulier SMP'!$D$163</definedName>
    <definedName name="Bij_lat11">'Standaard formulier SMP'!$D$164</definedName>
    <definedName name="Bij_lat12">'Standaard formulier SMP'!$D$165</definedName>
    <definedName name="Bij_lat13">'Standaard formulier SMP'!$D$166</definedName>
    <definedName name="Bij_lat14">'Standaard formulier SMP'!$D$167</definedName>
    <definedName name="Bij_lat15">'Standaard formulier SMP'!$D$168</definedName>
    <definedName name="Bij_lat16">'Standaard formulier SMP'!$D$169</definedName>
    <definedName name="Bij_lat17">'Standaard formulier SMP'!$D$170</definedName>
    <definedName name="Bij_lat18">'Standaard formulier SMP'!$D$171</definedName>
    <definedName name="Bij_lat19">'Standaard formulier SMP'!$D$172</definedName>
    <definedName name="Bij_lat20">'Standaard formulier SMP'!$D$173</definedName>
    <definedName name="Bij_lat21">'Standaard formulier SMP'!$D$174</definedName>
    <definedName name="Bij_lat22">'Standaard formulier SMP'!$D$175</definedName>
    <definedName name="Bij_lat23">'Standaard formulier SMP'!$D$176</definedName>
    <definedName name="Bij_lat24">'Standaard formulier SMP'!$D$177</definedName>
    <definedName name="Bij_lat25">'Standaard formulier SMP'!$D$178</definedName>
    <definedName name="Bij_lat26">'Standaard formulier SMP'!$D$179</definedName>
    <definedName name="Bij_lat27">'Standaard formulier SMP'!$D$180</definedName>
    <definedName name="Bij_lat28">'Standaard formulier SMP'!$D$181</definedName>
    <definedName name="Bij_lat29">'Standaard formulier SMP'!$D$182</definedName>
    <definedName name="Bij_lat30">'Standaard formulier SMP'!$D$183</definedName>
    <definedName name="Bij_ned01">'Standaard formulier SMP'!$E$154</definedName>
    <definedName name="Bij_ned02">'Standaard formulier SMP'!$E$155</definedName>
    <definedName name="Bij_ned03">'Standaard formulier SMP'!$E$156</definedName>
    <definedName name="Bij_ned04">'Standaard formulier SMP'!$E$157</definedName>
    <definedName name="Bij_ned05">'Standaard formulier SMP'!$E$158</definedName>
    <definedName name="Bij_ned06">'Standaard formulier SMP'!$E$159</definedName>
    <definedName name="Bij_ned07">'Standaard formulier SMP'!$E$160</definedName>
    <definedName name="Bij_ned08">'Standaard formulier SMP'!$E$161</definedName>
    <definedName name="Bij_ned09">'Standaard formulier SMP'!$E$162</definedName>
    <definedName name="Bij_ned10">'Standaard formulier SMP'!$E$163</definedName>
    <definedName name="Bij_ned11">'Standaard formulier SMP'!$E$164</definedName>
    <definedName name="Bij_ned12">'Standaard formulier SMP'!$E$165</definedName>
    <definedName name="Bij_ned13">'Standaard formulier SMP'!$E$166</definedName>
    <definedName name="Bij_ned14">'Standaard formulier SMP'!$E$167</definedName>
    <definedName name="Bij_ned15">'Standaard formulier SMP'!$E$168</definedName>
    <definedName name="Bij_ned16">'Standaard formulier SMP'!$E$169</definedName>
    <definedName name="Bij_ned17">'Standaard formulier SMP'!$E$170</definedName>
    <definedName name="Bij_ned18">'Standaard formulier SMP'!$E$171</definedName>
    <definedName name="Bij_ned19">'Standaard formulier SMP'!$E$172</definedName>
    <definedName name="Bij_ned20">'Standaard formulier SMP'!$E$173</definedName>
    <definedName name="Bij_ned21">'Standaard formulier SMP'!$E$174</definedName>
    <definedName name="Bij_ned22">'Standaard formulier SMP'!$E$175</definedName>
    <definedName name="Bij_ned23">'Standaard formulier SMP'!$E$176</definedName>
    <definedName name="Bij_ned24">'Standaard formulier SMP'!$E$177</definedName>
    <definedName name="Bij_ned25">'Standaard formulier SMP'!$E$178</definedName>
    <definedName name="Bij_ned26">'Standaard formulier SMP'!$E$179</definedName>
    <definedName name="Bij_ned27">'Standaard formulier SMP'!$E$180</definedName>
    <definedName name="Bij_ned28">'Standaard formulier SMP'!$E$181</definedName>
    <definedName name="Bij_ned29">'Standaard formulier SMP'!$E$182</definedName>
    <definedName name="Bij_ned30">'Standaard formulier SMP'!$E$183</definedName>
    <definedName name="Bij_sd01">'Standaard formulier SMP'!$H$154</definedName>
    <definedName name="Bij_sd02">'Standaard formulier SMP'!$H$155</definedName>
    <definedName name="Bij_sd03">'Standaard formulier SMP'!$H$156</definedName>
    <definedName name="Bij_sd04">'Standaard formulier SMP'!$H$157</definedName>
    <definedName name="Bij_sd05">'Standaard formulier SMP'!$H$158</definedName>
    <definedName name="Bij_sd06">'Standaard formulier SMP'!$H$159</definedName>
    <definedName name="Bij_sd07">'Standaard formulier SMP'!$H$160</definedName>
    <definedName name="Bij_sd08">'Standaard formulier SMP'!$H$161</definedName>
    <definedName name="Bij_sd09">'Standaard formulier SMP'!$H$162</definedName>
    <definedName name="Bij_sd10">'Standaard formulier SMP'!$H$163</definedName>
    <definedName name="Bij_sd11">'Standaard formulier SMP'!$H$164</definedName>
    <definedName name="Bij_sd12">'Standaard formulier SMP'!$H$165</definedName>
    <definedName name="Bij_sd13">'Standaard formulier SMP'!$H$166</definedName>
    <definedName name="Bij_sd14">'Standaard formulier SMP'!$H$167</definedName>
    <definedName name="Bij_sd15">'Standaard formulier SMP'!$H$168</definedName>
    <definedName name="Bij_sd16">'Standaard formulier SMP'!$H$169</definedName>
    <definedName name="Bij_sd17">'Standaard formulier SMP'!$H$170</definedName>
    <definedName name="Bij_sd18">'Standaard formulier SMP'!$H$171</definedName>
    <definedName name="Bij_sd19">'Standaard formulier SMP'!$H$172</definedName>
    <definedName name="Bij_sd20">'Standaard formulier SMP'!$H$173</definedName>
    <definedName name="Bij_sd21">'Standaard formulier SMP'!$H$174</definedName>
    <definedName name="Bij_sd22">'Standaard formulier SMP'!$H$175</definedName>
    <definedName name="Bij_sd23">'Standaard formulier SMP'!$H$176</definedName>
    <definedName name="Bij_sd24">'Standaard formulier SMP'!$H$177</definedName>
    <definedName name="Bij_sd25">'Standaard formulier SMP'!$H$178</definedName>
    <definedName name="Bij_sd26">'Standaard formulier SMP'!$H$179</definedName>
    <definedName name="Bij_sd27">'Standaard formulier SMP'!$H$180</definedName>
    <definedName name="Bij_sd28">'Standaard formulier SMP'!$H$181</definedName>
    <definedName name="Bij_sd29">'Standaard formulier SMP'!$H$182</definedName>
    <definedName name="Bij_sd30">'Standaard formulier SMP'!$H$183</definedName>
    <definedName name="Bijned">'Gegevens'!$C$402:$D$431</definedName>
    <definedName name="Bijnednaam">'Bijschrijfsoorten'!$C:$D</definedName>
    <definedName name="Bijwet">'Gegevens'!$C$432:$D$461</definedName>
    <definedName name="Bijwetnaam">'Bijschrijfsoorten'!$B:$C</definedName>
    <definedName name="Blaasjeskrab">'Standaard formulier SMP'!$F$123</definedName>
    <definedName name="Blaasjeskrab_d">'Standaard formulier SMP'!$G$123</definedName>
    <definedName name="Blaasjeskrab_ei">'Standaard formulier SMP'!$K$123</definedName>
    <definedName name="Blaasjeskrab_l">'Standaard formulier SMP'!$H$123</definedName>
    <definedName name="Blaasjeskrab_v">'Standaard formulier SMP'!$J$123</definedName>
    <definedName name="Blaaswier">'Standaard formulier SMP'!$L$40</definedName>
    <definedName name="Blauwe_haarkwal">'Standaard formulier SMP'!$F$33</definedName>
    <definedName name="Blonde_rog">'Standaard formulier SMP'!$F$146</definedName>
    <definedName name="Blonde_rog_e">'Standaard formulier SMP'!$G$146</definedName>
    <definedName name="Brakwater_zeepok">'Standaard formulier SMP'!$F$110</definedName>
    <definedName name="Brede_kleine_zwaardschede">'Standaard formulier SMP'!$F$91</definedName>
    <definedName name="Brede_kleine_zwaardschede_d">'Standaard formulier SMP'!$G$91</definedName>
    <definedName name="Brede_kleine_zwaardschede_v">'Standaard formulier SMP'!$H$91</definedName>
    <definedName name="Breedbladigmosdiertje">'Standaard formulier SMP'!$L$148</definedName>
    <definedName name="Breedpootkrab">'Standaard formulier SMP'!$F$129</definedName>
    <definedName name="Breedpootkrab_d">'Standaard formulier SMP'!$G$129</definedName>
    <definedName name="Breedpootkrab_ei">'Standaard formulier SMP'!$K$129</definedName>
    <definedName name="Breedpootkrab_l">'Standaard formulier SMP'!$H$129</definedName>
    <definedName name="Breedpootkrab_v">'Standaard formulier SMP'!$J$129</definedName>
    <definedName name="Brokkelster_l">'Standaard formulier SMP'!$H$138</definedName>
    <definedName name="Brokkelster_v">'Standaard formulier SMP'!$G$138</definedName>
    <definedName name="Bruine_zeevinger">'Standaard formulier SMP'!$L$145</definedName>
    <definedName name="Categorie">'Namen'!$I$3:$I$16</definedName>
    <definedName name="Darmwier">'Standaard formulier SMP'!$L$49</definedName>
    <definedName name="datum">'Standaard formulier SMP'!$E$24</definedName>
    <definedName name="Dik">'Standaard formulier SMP'!$G$20</definedName>
    <definedName name="Dik_alles">'Namen'!$M$3:$M$5</definedName>
    <definedName name="Doorschijn._zeevinger">'Standaard formulier SMP'!$L$144</definedName>
    <definedName name="Dr_St">'Namen'!$K$3:$K$4</definedName>
    <definedName name="Dwergpijlinktvis">'Standaard formulier SMP'!$F$69</definedName>
    <definedName name="Dwergpijlinktvis_ei">'Standaard formulier SMP'!$H$69</definedName>
    <definedName name="Dwergpijlinktvis_v">'Standaard formulier SMP'!$G$69</definedName>
    <definedName name="ebtijd">'Standaard formulier SMP'!$L$25</definedName>
    <definedName name="Eendenmossel">'Standaard formulier SMP'!$L$110</definedName>
    <definedName name="Eindtijd">'Standaard formulier SMP'!$E$26</definedName>
    <definedName name="Email1">'Standaard formulier SMP'!$E$13</definedName>
    <definedName name="email2">'Standaard formulier SMP'!$E$18</definedName>
    <definedName name="Fijn_kantmosdiertje">'Standaard formulier SMP'!$L$149</definedName>
    <definedName name="Fluwelen_zeemuis_v">'Standaard formulier SMP'!$M$29</definedName>
    <definedName name="Fluwelen_zwemkrab">'Standaard formulier SMP'!$F$128</definedName>
    <definedName name="Fluwelen_zwemkrab_d">'Standaard formulier SMP'!$G$128</definedName>
    <definedName name="Fluwelen_zwemkrab_ei">'Standaard formulier SMP'!$K$128</definedName>
    <definedName name="Fluwelen_zwemkrab_l">'Standaard formulier SMP'!$H$128</definedName>
    <definedName name="Fluwelen_zwemkrab_v">'Standaard formulier SMP'!$J$128</definedName>
    <definedName name="Gaffelwier">'Standaard formulier SMP'!$L$39</definedName>
    <definedName name="Geaderde_stekelhoren">'Standaard formulier SMP'!$F$66</definedName>
    <definedName name="Geaderde_stekelhoren_ei">'Standaard formulier SMP'!$H$66</definedName>
    <definedName name="Geaderde_stekelhoren_l">'Standaard formulier SMP'!$G$66</definedName>
    <definedName name="Gedoornde_zeekat">'Standaard formulier SMP'!$F$73</definedName>
    <definedName name="Gedoornde_zeekat_ei">'Standaard formulier SMP'!$H$73</definedName>
    <definedName name="Gedoornde_zeekat_v">'Standaard formulier SMP'!$G$73</definedName>
    <definedName name="Gedraaide_zeedraad_k">'Standaard formulier SMP'!$F$45</definedName>
    <definedName name="Gekartelde_zeepok">'Standaard formulier SMP'!$F$112</definedName>
    <definedName name="Geknoopte_zeedraad_k">'Standaard formulier SMP'!$F$48</definedName>
    <definedName name="Gekromde_zeeborstel_k">'Standaard formulier SMP'!$F$47</definedName>
    <definedName name="Gele_haarkwal">'Standaard formulier SMP'!$F$31</definedName>
    <definedName name="Gemarmerde_zwemkrab">'Standaard formulier SMP'!$F$127</definedName>
    <definedName name="Gemarmerde_zwemkrab_d">'Standaard formulier SMP'!$G$127</definedName>
    <definedName name="Gemarmerde_zwemkrab_ei">'Standaard formulier SMP'!$K$127</definedName>
    <definedName name="Gemarmerde_zwemkrab_l">'Standaard formulier SMP'!$H$127</definedName>
    <definedName name="Gemarmerde_zwemkrab_v">'Standaard formulier SMP'!$J$127</definedName>
    <definedName name="Gevlekte_rog">'Standaard formulier SMP'!$F$149</definedName>
    <definedName name="Gevlekte_rog_e">'Standaard formulier SMP'!$G$149</definedName>
    <definedName name="Gevlochten_fuikhoren">'Standaard formulier SMP'!$F$62</definedName>
    <definedName name="Gevlochten_fuikhoren_ei">'Standaard formulier SMP'!$H$62</definedName>
    <definedName name="Gevlochten_fuikhoren_l">'Standaard formulier SMP'!$G$62</definedName>
    <definedName name="Gew._zeepissebed">'Standaard formulier SMP'!$L$113</definedName>
    <definedName name="Gewimperde_zwemkrab">'Standaard formulier SMP'!$F$125</definedName>
    <definedName name="Gewimperde_zwemkrab_d">'Standaard formulier SMP'!$G$125</definedName>
    <definedName name="Gewimperde_zwemkrab_ei">'Standaard formulier SMP'!$K$125</definedName>
    <definedName name="Gewimperde_zwemkrab_l">'Standaard formulier SMP'!$H$125</definedName>
    <definedName name="Gewimperde_zwemkrab_v">'Standaard formulier SMP'!$J$125</definedName>
    <definedName name="Gewone_alikruik">'Standaard formulier SMP'!$F$59</definedName>
    <definedName name="Gewone_alikruik_l">'Standaard formulier SMP'!$G$59</definedName>
    <definedName name="Gewone_garnaal">'Standaard formulier SMP'!$F$118</definedName>
    <definedName name="Gewone_garnaal_d">'Standaard formulier SMP'!$G$118</definedName>
    <definedName name="Gewone_garnaal_ei">'Standaard formulier SMP'!$K$118</definedName>
    <definedName name="Gewone_garnaal_l">'Standaard formulier SMP'!$H$118</definedName>
    <definedName name="Gewone_garnaal_v">'Standaard formulier SMP'!$J$118</definedName>
    <definedName name="Gewone_heremietkreeft">'Standaard formulier SMP'!$F$132</definedName>
    <definedName name="Gewone_heremietkreeft_d">'Standaard formulier SMP'!$G$132</definedName>
    <definedName name="Gewone_heremietkreeft_ei">'Standaard formulier SMP'!$K$132</definedName>
    <definedName name="Gewone_heremietkreeft_l">'Standaard formulier SMP'!$H$132</definedName>
    <definedName name="Gewone_heremietkreeft_v">'Standaard formulier SMP'!$J$132</definedName>
    <definedName name="Gewone_zeepok">'Standaard formulier SMP'!$F$114</definedName>
    <definedName name="Gewone_zwemkrab">'Standaard formulier SMP'!$F$126</definedName>
    <definedName name="Gewone_zwemkrab_d">'Standaard formulier SMP'!$G$126</definedName>
    <definedName name="Gewone_zwemkrab_ei">'Standaard formulier SMP'!$K$126</definedName>
    <definedName name="Gewone_zwemkrab_l">'Standaard formulier SMP'!$H$126</definedName>
    <definedName name="Gewone_zwemkrab_v">'Standaard formulier SMP'!$J$126</definedName>
    <definedName name="Gezaagde_zee_eik">'Standaard formulier SMP'!$L$41</definedName>
    <definedName name="Glad_porseleinkrabbetje">'Standaard formulier SMP'!$F$133</definedName>
    <definedName name="Glad_porseleinkrabbetje_d">'Standaard formulier SMP'!$G$133</definedName>
    <definedName name="Glad_porseleinkrabbetje_ei">'Standaard formulier SMP'!$K$133</definedName>
    <definedName name="Glad_porseleinkrabbetje_l">'Standaard formulier SMP'!$H$133</definedName>
    <definedName name="Glad_porseleinkrabbetje_v">'Standaard formulier SMP'!$J$133</definedName>
    <definedName name="Glanzende_tepelhoren">'Standaard formulier SMP'!$F$58</definedName>
    <definedName name="Glanzende_tepelhoren_ei">'Standaard formulier SMP'!$H$58</definedName>
    <definedName name="Glanzende_tepelhoren_l">'Standaard formulier SMP'!$G$58</definedName>
    <definedName name="Gorgelpijppoliep_k">'Standaard formulier SMP'!$F$44</definedName>
    <definedName name="Goudkammetje">'Standaard formulier SMP'!$L$32</definedName>
    <definedName name="Goudkammetje_v">'Standaard formulier SMP'!$M$32</definedName>
    <definedName name="Grofgeribde_fuikhoren">'Standaard formulier SMP'!$F$63</definedName>
    <definedName name="Grofgeribde_fuikhoren_ei">'Standaard formulier SMP'!$H$63</definedName>
    <definedName name="Grofgeribde_fuikhoren_l">'Standaard formulier SMP'!$G$63</definedName>
    <definedName name="Groot_tafelmesheft">'Standaard formulier SMP'!$F$93</definedName>
    <definedName name="Groot_tafelmesheft_d">'Standaard formulier SMP'!$G$93</definedName>
    <definedName name="Groot_tafelmesheft_v">'Standaard formulier SMP'!$H$93</definedName>
    <definedName name="Grootoogrog">'Standaard formulier SMP'!$F$145</definedName>
    <definedName name="Grootoogrog_e">'Standaard formulier SMP'!$G$145</definedName>
    <definedName name="Grote_strandschelp">'Standaard formulier SMP'!$F$97</definedName>
    <definedName name="Grote_strandschelp_d">'Standaard formulier SMP'!$G$97</definedName>
    <definedName name="Grote_strandschelp_v">'Standaard formulier SMP'!$H$97</definedName>
    <definedName name="Grote_tepelhoren">'Standaard formulier SMP'!$F$57</definedName>
    <definedName name="Grote_tepelhoren_ei">'Standaard formulier SMP'!$H$57</definedName>
    <definedName name="Grote_tepelhoren_l">'Standaard formulier SMP'!$G$57</definedName>
    <definedName name="Grote_zwaardschede">'Standaard formulier SMP'!$F$86</definedName>
    <definedName name="Grote_zwaardschede_d">'Standaard formulier SMP'!$G$86</definedName>
    <definedName name="Grote_zwaardschede_v">'Standaard formulier SMP'!$H$86</definedName>
    <definedName name="Halfgeknotte_strandschelp">'Standaard formulier SMP'!$F$104</definedName>
    <definedName name="Halfgeknotte_strandschelp_d">'Standaard formulier SMP'!$G$104</definedName>
    <definedName name="Halfgeknotte_strandschelp_v">'Standaard formulier SMP'!$H$104</definedName>
    <definedName name="Harig_kantmosdiertje">'Standaard formulier SMP'!$L$147</definedName>
    <definedName name="Hauwwier">'Standaard formulier SMP'!$L$44</definedName>
    <definedName name="Havenpissenbed">'Standaard formulier SMP'!$L$114</definedName>
    <definedName name="Helmkrab">'Standaard formulier SMP'!$F$121</definedName>
    <definedName name="Helmkrab_d">'Standaard formulier SMP'!$G$121</definedName>
    <definedName name="Helmkrab_ei">'Standaard formulier SMP'!$K$121</definedName>
    <definedName name="Helmkrab_l">'Standaard formulier SMP'!$H$121</definedName>
    <definedName name="Helmkrab_v">'Standaard formulier SMP'!$J$121</definedName>
    <definedName name="Hondshaai">'Standaard formulier SMP'!$F$150</definedName>
    <definedName name="Hondshaai_e">'Standaard formulier SMP'!$G$150</definedName>
    <definedName name="Iers_mos">'Standaard formulier SMP'!$L$37</definedName>
    <definedName name="Japans_bessenwier">'Standaard formulier SMP'!$L$48</definedName>
    <definedName name="Japanse_oester">'Standaard formulier SMP'!$F$83</definedName>
    <definedName name="Japanse_oester_d">'Standaard formulier SMP'!$G$83</definedName>
    <definedName name="Japanse_oester_v">'Standaard formulier SMP'!$H$83</definedName>
    <definedName name="Klein_tafelmesheft">'Standaard formulier SMP'!$F$92</definedName>
    <definedName name="Klein_tafelmesheft_d">'Standaard formulier SMP'!$G$92</definedName>
    <definedName name="Klein_tafelmesheft_v">'Standaard formulier SMP'!$H$92</definedName>
    <definedName name="Kleine_boormossel">'Standaard formulier SMP'!$F$80</definedName>
    <definedName name="Kleine_boormossel_d">'Standaard formulier SMP'!$G$80</definedName>
    <definedName name="Kleine_boormossel_v">'Standaard formulier SMP'!$H$80</definedName>
    <definedName name="Kleine_heremietkreeft">'Standaard formulier SMP'!$F$131</definedName>
    <definedName name="Kleine_heremietkreeft_d">'Standaard formulier SMP'!$G$131</definedName>
    <definedName name="Kleine_heremietkreeft_ei">'Standaard formulier SMP'!$K$131</definedName>
    <definedName name="Kleine_heremietkreeft_l">'Standaard formulier SMP'!$H$131</definedName>
    <definedName name="Kleine_heremietkreeft_v">'Standaard formulier SMP'!$J$131</definedName>
    <definedName name="Kleine_zee_eik">'Standaard formulier SMP'!$L$42</definedName>
    <definedName name="Kleine_zwaardschede">'Standaard formulier SMP'!$F$90</definedName>
    <definedName name="Kleine_zwaardschede_d">'Standaard formulier SMP'!$G$90</definedName>
    <definedName name="Kleine_zwaardschede_v">'Standaard formulier SMP'!$H$90</definedName>
    <definedName name="Kleinoogrog">'Standaard formulier SMP'!$F$148</definedName>
    <definedName name="Kleinoogrog_e">'Standaard formulier SMP'!$G$148</definedName>
    <definedName name="Klepelklokje">'Standaard formulier SMP'!$F$36</definedName>
    <definedName name="Knoopwier">'Standaard formulier SMP'!$L$43</definedName>
    <definedName name="Knotswier">'Standaard formulier SMP'!$L$36</definedName>
    <definedName name="Kokkel">'Standaard formulier SMP'!$F$81</definedName>
    <definedName name="Kokkel_d">'Standaard formulier SMP'!$G$81</definedName>
    <definedName name="Kokkel_v">'Standaard formulier SMP'!$H$81</definedName>
    <definedName name="Komkommerkwal">'Standaard formulier SMP'!$F$37</definedName>
    <definedName name="Kompaskwal">'Standaard formulier SMP'!$F$30</definedName>
    <definedName name="Krabbenzakje">'Standaard formulier SMP'!$L$111</definedName>
    <definedName name="Kwalvlo">'Standaard formulier SMP'!$L$112</definedName>
    <definedName name="laagwater">'Standaard formulier SMP'!$L$23</definedName>
    <definedName name="Lampjekapje">'Standaard formulier SMP'!$F$35</definedName>
    <definedName name="Lange_zeedraad_k">'Standaard formulier SMP'!$F$49</definedName>
    <definedName name="Licht_kwal">'Standaard formulier SMP'!$F$32</definedName>
    <definedName name="Loop_traject">'Standaard formulier SMP'!$E$22</definedName>
    <definedName name="minuten">'Standaard formulier SMP'!$L$24</definedName>
    <definedName name="Mossel">'Standaard formulier SMP'!$F$100</definedName>
    <definedName name="Mossel_d">'Standaard formulier SMP'!$G$100</definedName>
    <definedName name="Mossel_v">'Standaard formulier SMP'!$H$100</definedName>
    <definedName name="Muiltje">'Standaard formulier SMP'!$F$55</definedName>
    <definedName name="Muiltje_l">'Standaard formulier SMP'!$G$55</definedName>
    <definedName name="Nagelkrab">'Standaard formulier SMP'!$F$130</definedName>
    <definedName name="Nagelkrab_d">'Standaard formulier SMP'!$G$130</definedName>
    <definedName name="Nagelkrab_ei">'Standaard formulier SMP'!$K$130</definedName>
    <definedName name="Nagelkrab_l">'Standaard formulier SMP'!$H$130</definedName>
    <definedName name="Nagelkrab_v">'Standaard formulier SMP'!$J$130</definedName>
    <definedName name="Nednaam">'Bijschrijfsoorten'!$H$2:$H$812</definedName>
    <definedName name="Nieuw_Zeelandse_zeepok">'Standaard formulier SMP'!$F$111</definedName>
    <definedName name="Nonnetje">'Standaard formulier SMP'!$F$96</definedName>
    <definedName name="Nonnetje_d">'Standaard formulier SMP'!$G$96</definedName>
    <definedName name="Nonnetje_v">'Standaard formulier SMP'!$H$96</definedName>
    <definedName name="Noordzeekrab">'Standaard formulier SMP'!$F$119</definedName>
    <definedName name="Noordzeekrab_d">'Standaard formulier SMP'!$G$119</definedName>
    <definedName name="Noordzeekrab_ei">'Standaard formulier SMP'!$K$119</definedName>
    <definedName name="Noordzeekrab_l">'Standaard formulier SMP'!$H$119</definedName>
    <definedName name="Noordzeekrab_v">'Standaard formulier SMP'!$J$119</definedName>
    <definedName name="Noorse_hartschelp">'Standaard formulier SMP'!$F$94</definedName>
    <definedName name="Noorse_hartschelp_d">'Standaard formulier SMP'!$G$94</definedName>
    <definedName name="Noorse_hartschelp_v">'Standaard formulier SMP'!$H$94</definedName>
    <definedName name="Oorkwal">'Standaard formulier SMP'!$F$29</definedName>
    <definedName name="Oranjerood_plooimosd">'Standaard formulier SMP'!$L$150</definedName>
    <definedName name="Otterschelp">'Standaard formulier SMP'!$F$95</definedName>
    <definedName name="Otterschelp_d">'Standaard formulier SMP'!$G$95</definedName>
    <definedName name="Otterschelp_v">'Standaard formulier SMP'!$H$95</definedName>
    <definedName name="Pennenschaft_k">'Standaard formulier SMP'!$F$51</definedName>
    <definedName name="Penseelkrab">'Standaard formulier SMP'!$F$124</definedName>
    <definedName name="Penseelkrab_d">'Standaard formulier SMP'!$G$124</definedName>
    <definedName name="Penseelkrab_ei">'Standaard formulier SMP'!$K$124</definedName>
    <definedName name="Penseelkrab_l">'Standaard formulier SMP'!$H$124</definedName>
    <definedName name="Penseelkrab_v">'Standaard formulier SMP'!$J$124</definedName>
    <definedName name="Pijlinktvis">'Standaard formulier SMP'!$F$70</definedName>
    <definedName name="Pijlinktvis_ei">'Standaard formulier SMP'!$H$70</definedName>
    <definedName name="Pijlinktvis_v">'Standaard formulier SMP'!$G$70</definedName>
    <definedName name="plaats1">'Standaard formulier SMP'!$E$11</definedName>
    <definedName name="plaats2">'Standaard formulier SMP'!$E$16</definedName>
    <definedName name="Platte_oester">'Standaard formulier SMP'!$F$101</definedName>
    <definedName name="Platte_oester_d">'Standaard formulier SMP'!$G$101</definedName>
    <definedName name="Platte_oester_v">'Standaard formulier SMP'!$H$101</definedName>
    <definedName name="Platte_slijkgaper">'Standaard formulier SMP'!$F$103</definedName>
    <definedName name="Platte_slijkgaper_d">'Standaard formulier SMP'!$G$103</definedName>
    <definedName name="Platte_slijkgaper_v">'Standaard formulier SMP'!$H$103</definedName>
    <definedName name="pstk1">'Standaard formulier SMP'!$G$11</definedName>
    <definedName name="pstk2">'Standaard formulier SMP'!$G$16</definedName>
    <definedName name="Purperslak">'Standaard formulier SMP'!$F$64</definedName>
    <definedName name="Purperslak_ei">'Standaard formulier SMP'!$H$64</definedName>
    <definedName name="Purperslak_l">'Standaard formulier SMP'!$G$64</definedName>
    <definedName name="Purperwier">'Standaard formulier SMP'!$L$46</definedName>
    <definedName name="Rechtsgestreepte_platschelp">'Standaard formulier SMP'!$F$77</definedName>
    <definedName name="Rechtsgestreepte_platschelp_d">'Standaard formulier SMP'!$G$77</definedName>
    <definedName name="Rechtsgestreepte_platschelp_v">'Standaard formulier SMP'!$H$77</definedName>
    <definedName name="Riemwier">'Standaard formulier SMP'!$L$45</definedName>
    <definedName name="Ritspok">'Standaard formulier SMP'!$F$115</definedName>
    <definedName name="Ruwe_alikruik">'Standaard formulier SMP'!$F$60</definedName>
    <definedName name="Ruwe_alikruik_l">'Standaard formulier SMP'!$G$60</definedName>
    <definedName name="Ruwe_boormossel">'Standaard formulier SMP'!$F$107</definedName>
    <definedName name="Ruwe_boormossel_d">'Standaard formulier SMP'!$G$107</definedName>
    <definedName name="Ruwe_boormossel_v">'Standaard formulier SMP'!$H$107</definedName>
    <definedName name="Ruwe_zeerasp_k">'Standaard formulier SMP'!$F$46</definedName>
    <definedName name="Schaalhoren">'Standaard formulier SMP'!$F$65</definedName>
    <definedName name="Schaalhoren_l">'Standaard formulier SMP'!$G$65</definedName>
    <definedName name="Schelpkokerworm">'Standaard formulier SMP'!$L$31</definedName>
    <definedName name="Schelpkokerworm_l">'Standaard formulier SMP'!$M$31</definedName>
    <definedName name="Sierlijke_zeekat">'Standaard formulier SMP'!$F$72</definedName>
    <definedName name="Sierlijke_zeekat_ei">'Standaard formulier SMP'!$H$72</definedName>
    <definedName name="Sierlijke_zeekat_v">'Standaard formulier SMP'!$G$72</definedName>
    <definedName name="Slangster_l">'Standaard formulier SMP'!$H$137</definedName>
    <definedName name="Slangster_v">'Standaard formulier SMP'!$G$137</definedName>
    <definedName name="Slibanemoon">'Standaard formulier SMP'!$F$41</definedName>
    <definedName name="Stekelrog">'Standaard formulier SMP'!$F$147</definedName>
    <definedName name="Stekelrog_e">'Standaard formulier SMP'!$G$147</definedName>
    <definedName name="Sterrog">'Standaard formulier SMP'!$F$144</definedName>
    <definedName name="Sterrog_e">'Standaard formulier SMP'!$G$144</definedName>
    <definedName name="Stevige_strandschelp">'Standaard formulier SMP'!$F$105</definedName>
    <definedName name="Stevige_strandschelp_d">'Standaard formulier SMP'!$G$105</definedName>
    <definedName name="Stevige_strandschelp_v">'Standaard formulier SMP'!$H$105</definedName>
    <definedName name="Stompe_alikruik">'Standaard formulier SMP'!$F$61</definedName>
    <definedName name="Stompe_alikruik_l">'Standaard formulier SMP'!$G$61</definedName>
    <definedName name="Strandgaper">'Standaard formulier SMP'!$F$98</definedName>
    <definedName name="Strandgaper_d">'Standaard formulier SMP'!$G$98</definedName>
    <definedName name="Strandgaper_v">'Standaard formulier SMP'!$H$98</definedName>
    <definedName name="Strandkrab">'Standaard formulier SMP'!$F$120</definedName>
    <definedName name="Strandkrab_d">'Standaard formulier SMP'!$G$120</definedName>
    <definedName name="Strandkrab_ei">'Standaard formulier SMP'!$K$120</definedName>
    <definedName name="Strandkrab_l">'Standaard formulier SMP'!$H$120</definedName>
    <definedName name="Strandkrab_v">'Standaard formulier SMP'!$J$120</definedName>
    <definedName name="Strandvlo">'Standaard formulier SMP'!$L$115</definedName>
    <definedName name="Suikerwier">'Standaard formulier SMP'!$L$47</definedName>
    <definedName name="Tapijtschelp">'Standaard formulier SMP'!$F$106</definedName>
    <definedName name="Tapijtschelp_d">'Standaard formulier SMP'!$G$106</definedName>
    <definedName name="Tapijtschelp_v">'Standaard formulier SMP'!$H$106</definedName>
    <definedName name="Tere_platschelp">'Standaard formulier SMP'!$F$78</definedName>
    <definedName name="Tere_platschelp_d">'Standaard formulier SMP'!$G$78</definedName>
    <definedName name="Tere_platschelp_v">'Standaard formulier SMP'!$H$78</definedName>
    <definedName name="Toestand">'Namen'!$O$3:$O$6</definedName>
    <definedName name="Traject">'Namen'!$A$3:$A$10</definedName>
    <definedName name="Trajectnr">'Namen'!#REF!</definedName>
    <definedName name="trajnr">'Standaard formulier SMP'!$E$23</definedName>
    <definedName name="Venusschelp">'Standaard formulier SMP'!$F$82</definedName>
    <definedName name="Venusschelp_d">'Standaard formulier SMP'!$G$82</definedName>
    <definedName name="Venusschelp_v">'Standaard formulier SMP'!$H$82</definedName>
    <definedName name="Viltwier">'Standaard formulier SMP'!$L$38</definedName>
    <definedName name="vloedtijd">'Standaard formulier SMP'!$L$26</definedName>
    <definedName name="Vulkaantje">'Standaard formulier SMP'!$F$113</definedName>
    <definedName name="Wakame">'Standaard formulier SMP'!$L$51</definedName>
    <definedName name="wcode1">'Standaard formulier SMP'!$G$9</definedName>
    <definedName name="wcode2">'Standaard formulier SMP'!$G$14</definedName>
    <definedName name="Weduweroos">'Standaard formulier SMP'!$F$42</definedName>
    <definedName name="Wenteltrap">'Standaard formulier SMP'!$F$56</definedName>
    <definedName name="Wenteltrap_l">'Standaard formulier SMP'!$G$56</definedName>
    <definedName name="Wetnaam">'Bijschrijfsoorten'!$G$2:$G$65536</definedName>
    <definedName name="Witte_boormossel">'Standaard formulier SMP'!$F$79</definedName>
    <definedName name="Witte_boormossel_d">'Standaard formulier SMP'!$G$79</definedName>
    <definedName name="Witte_boormossel_v">'Standaard formulier SMP'!$H$79</definedName>
    <definedName name="Witte_dunschaal">'Standaard formulier SMP'!$F$76</definedName>
    <definedName name="Witte_dunschaal_d">'Standaard formulier SMP'!$G$76</definedName>
    <definedName name="Witte_dunschaal_v">'Standaard formulier SMP'!$H$76</definedName>
    <definedName name="wndag">'Gegevens'!$C$27</definedName>
    <definedName name="wnjaar">'Gegevens'!$C$21</definedName>
    <definedName name="wnmaand">'Gegevens'!$C$17</definedName>
    <definedName name="Wolhandkrab">'Standaard formulier SMP'!$F$122</definedName>
    <definedName name="Wolhandkrab_d">'Standaard formulier SMP'!$G$122</definedName>
    <definedName name="Wolhandkrab_ei">'Standaard formulier SMP'!$K$122</definedName>
    <definedName name="Wolhandkrab_l">'Standaard formulier SMP'!$H$122</definedName>
    <definedName name="Wolhandkrab_v">'Standaard formulier SMP'!$J$122</definedName>
    <definedName name="wrnr_1">'Standaard formulier SMP'!$E$9</definedName>
    <definedName name="wrnr2">'Standaard formulier SMP'!$E$14</definedName>
    <definedName name="Wulk">'Standaard formulier SMP'!$F$54</definedName>
    <definedName name="Wulk_ei">'Standaard formulier SMP'!$H$54</definedName>
    <definedName name="Wulk_l">'Standaard formulier SMP'!$G$54</definedName>
    <definedName name="Zaagje">'Standaard formulier SMP'!$F$84</definedName>
    <definedName name="Zaagje_d">'Standaard formulier SMP'!$G$84</definedName>
    <definedName name="Zaagje_v">'Standaard formulier SMP'!$H$84</definedName>
    <definedName name="Zandkokerworm">'Standaard formulier SMP'!$L$33</definedName>
    <definedName name="Zandkokerworm_l">'Standaard formulier SMP'!$M$33</definedName>
    <definedName name="Zeeanjelier">'Standaard formulier SMP'!$F$40</definedName>
    <definedName name="Zeeappel">'Standaard formulier SMP'!$F$141</definedName>
    <definedName name="Zeeappel_l">'Standaard formulier SMP'!$H$141</definedName>
    <definedName name="Zeeappel_v">'Standaard formulier SMP'!$G$141</definedName>
    <definedName name="Zeeboontje">'Standaard formulier SMP'!$F$140</definedName>
    <definedName name="Zeeboontje_l">'Standaard formulier SMP'!$H$140</definedName>
    <definedName name="Zeeboontje_v">'Standaard formulier SMP'!$G$140</definedName>
    <definedName name="Zeecypres_k">'Standaard formulier SMP'!$F$50</definedName>
    <definedName name="Zeedennetje_k">'Standaard formulier SMP'!$F$43</definedName>
    <definedName name="Zeedruif">'Standaard formulier SMP'!$F$39</definedName>
    <definedName name="Zeekat">'Standaard formulier SMP'!$F$71</definedName>
    <definedName name="Zeekat_ei">'Standaard formulier SMP'!$H$71</definedName>
    <definedName name="Zeekat_v">'Standaard formulier SMP'!$G$71</definedName>
    <definedName name="Zeeklit">'Standaard formulier SMP'!$F$139</definedName>
    <definedName name="Zeeklit_l">'Standaard formulier SMP'!$H$139</definedName>
    <definedName name="Zeeklit_v">'Standaard formulier SMP'!$G$139</definedName>
    <definedName name="Zeepaddestoel">'Standaard formulier SMP'!$F$34</definedName>
    <definedName name="Zeepier">'Standaard formulier SMP'!$L$30</definedName>
    <definedName name="Zeepier_v">'Standaard formulier SMP'!$M$30</definedName>
    <definedName name="Zeesla">'Standaard formulier SMP'!$L$50</definedName>
    <definedName name="Zeester_l">'Standaard formulier SMP'!$H$136</definedName>
    <definedName name="Zeester_v">'Standaard formulier SMP'!$G$136</definedName>
    <definedName name="Zeevitrage">'Standaard formulier SMP'!$L$146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<sst xmlns="http://schemas.openxmlformats.org/spreadsheetml/2006/main" count="6296" uniqueCount="2569">
  <si>
    <t>Brakwaterklokje</t>
  </si>
  <si>
    <t>Neoamphitrite figulus</t>
  </si>
  <si>
    <t>Slijmkokerworm</t>
  </si>
  <si>
    <t>Neodexiospira brasiliensis</t>
  </si>
  <si>
    <t>Braziliaanse kalkkokerworm</t>
  </si>
  <si>
    <t>Neomysis</t>
  </si>
  <si>
    <t>aasgarnaal {onb.}</t>
  </si>
  <si>
    <t>Neomysis integer</t>
  </si>
  <si>
    <t>Gewone aasgarnaal</t>
  </si>
  <si>
    <t>Neopycnodonte cochlear</t>
  </si>
  <si>
    <t>Pycnodonte cochlear</t>
  </si>
  <si>
    <t>Neosiphonia harveyi</t>
  </si>
  <si>
    <t>Neoturris pileata</t>
  </si>
  <si>
    <t>Belletje</t>
  </si>
  <si>
    <t>Nephrops norvegicus</t>
  </si>
  <si>
    <t>Noorse kreeft</t>
  </si>
  <si>
    <t>Nephtys</t>
  </si>
  <si>
    <t>zandzager {onb.}</t>
  </si>
  <si>
    <t>Neptunea antiqua</t>
  </si>
  <si>
    <t>Noordhoren</t>
  </si>
  <si>
    <t>Nereis</t>
  </si>
  <si>
    <t>zeeduizendpoot {onb.}</t>
  </si>
  <si>
    <t>Nereis pelagica</t>
  </si>
  <si>
    <t>Nerophis lumbriciformis</t>
  </si>
  <si>
    <t>Kleine wormzeenaald</t>
  </si>
  <si>
    <t>Nitophyllum punctatum</t>
  </si>
  <si>
    <t>Stippeltjeswier</t>
  </si>
  <si>
    <t>Noctiluca scintillans</t>
  </si>
  <si>
    <t>Zeevonk</t>
  </si>
  <si>
    <t>Nototropis swammerdamei</t>
  </si>
  <si>
    <t>Nucula nitidosa</t>
  </si>
  <si>
    <t>Driehoekige parelmoerneut</t>
  </si>
  <si>
    <t>Nucula nucleus</t>
  </si>
  <si>
    <t>Ovale parelmoerneut</t>
  </si>
  <si>
    <t>Nucula sulcata</t>
  </si>
  <si>
    <t>Nymphon</t>
  </si>
  <si>
    <t>Nymphon brevirostre</t>
  </si>
  <si>
    <t>Rode zeespin</t>
  </si>
  <si>
    <t>Nymphon gracile</t>
  </si>
  <si>
    <t>Obelia</t>
  </si>
  <si>
    <t>Obelia bidentata</t>
  </si>
  <si>
    <t>Obelia dichotoma</t>
  </si>
  <si>
    <t>Lange zeedraad</t>
  </si>
  <si>
    <t>Geknoopte zeedraad</t>
  </si>
  <si>
    <t>Ocenebra erinaceus</t>
  </si>
  <si>
    <t>Stekelhoren</t>
  </si>
  <si>
    <t>Ocenebra inornata</t>
  </si>
  <si>
    <t>Japanse stekelhoren</t>
  </si>
  <si>
    <t>Octopus vulgaris</t>
  </si>
  <si>
    <t>Achtarm</t>
  </si>
  <si>
    <t>Odostomia eulimoides</t>
  </si>
  <si>
    <t>Glanzende tandhoren</t>
  </si>
  <si>
    <t>Odostomia plicata</t>
  </si>
  <si>
    <t>Slanke tandhoren</t>
  </si>
  <si>
    <t>Odostomia scalaris</t>
  </si>
  <si>
    <t>Mosselslurpertje</t>
  </si>
  <si>
    <t>Onchidoris bilamellata</t>
  </si>
  <si>
    <t>Rosse sterslak</t>
  </si>
  <si>
    <t>Onchidoris muricata</t>
  </si>
  <si>
    <t>Wrattige sterslak</t>
  </si>
  <si>
    <t>Oncorhynchus kisutch</t>
  </si>
  <si>
    <t>Cohozalm</t>
  </si>
  <si>
    <t>Oncorhynchus mykiss</t>
  </si>
  <si>
    <t>Ondina divisa</t>
  </si>
  <si>
    <t>Stomp groeftandhorentje</t>
  </si>
  <si>
    <t>Onoba semicostata</t>
  </si>
  <si>
    <t>Geribd gordelhorentje</t>
  </si>
  <si>
    <t>Opercularella lacerata</t>
  </si>
  <si>
    <t>Ophiura</t>
  </si>
  <si>
    <t>slangster (onb.}</t>
  </si>
  <si>
    <t>Ophiura albida</t>
  </si>
  <si>
    <t>Kleine slangster</t>
  </si>
  <si>
    <t>Oscarella</t>
  </si>
  <si>
    <t>lobjesspons {onb.}</t>
  </si>
  <si>
    <t>Osmerus eperlanus</t>
  </si>
  <si>
    <t>Spiering</t>
  </si>
  <si>
    <t>Osmundea pinnatifida</t>
  </si>
  <si>
    <t>Oxydromus flexuosus</t>
  </si>
  <si>
    <t>Pagellus acarne</t>
  </si>
  <si>
    <t>Spaanse zeebrasem</t>
  </si>
  <si>
    <t>Pagellus bogaraveo</t>
  </si>
  <si>
    <t>Rode zeebrasem</t>
  </si>
  <si>
    <t>Pagurus cuanensis</t>
  </si>
  <si>
    <t>Harige heremietkreeft</t>
  </si>
  <si>
    <t>Palaemon</t>
  </si>
  <si>
    <t>Palaemon adspersus</t>
  </si>
  <si>
    <t>Roodsprietgarnaal</t>
  </si>
  <si>
    <t>Palaemon elegans</t>
  </si>
  <si>
    <t>Gewone steurgarnaal</t>
  </si>
  <si>
    <t>Palaemon longirostris</t>
  </si>
  <si>
    <t>Langneussteurgarnaal</t>
  </si>
  <si>
    <t>Palaemon macrodactylus</t>
  </si>
  <si>
    <t>Rugstreepsteurgarnaal</t>
  </si>
  <si>
    <t>Palaemon serratus</t>
  </si>
  <si>
    <t>Gezaagde steurgarnaal</t>
  </si>
  <si>
    <t>Palaemon varians</t>
  </si>
  <si>
    <t>Brakwatersteurgarnaal</t>
  </si>
  <si>
    <t>Palinurus elephas</t>
  </si>
  <si>
    <t>Palio nothus</t>
  </si>
  <si>
    <t>Groene mosdierslak</t>
  </si>
  <si>
    <t>Palliolum tigerinum</t>
  </si>
  <si>
    <t>Tijgerpels</t>
  </si>
  <si>
    <t>Pandalina brevirostris</t>
  </si>
  <si>
    <t>Zadelgarnaal</t>
  </si>
  <si>
    <t>Pandalus montagui</t>
  </si>
  <si>
    <t>Ringsprietgarnaal</t>
  </si>
  <si>
    <t>Panomya norvegica</t>
  </si>
  <si>
    <t>Noorse reuzengaper</t>
  </si>
  <si>
    <t>Parablennius gattorugine</t>
  </si>
  <si>
    <t>Gehoornde slijmvis</t>
  </si>
  <si>
    <t>Parasagitta setosa</t>
  </si>
  <si>
    <t>Pariambus typicus</t>
  </si>
  <si>
    <t>Hongerlijdertje</t>
  </si>
  <si>
    <t>Parthenina interstincta</t>
  </si>
  <si>
    <t>Ruw traliehorentje</t>
  </si>
  <si>
    <t>Parvicardium exiguum</t>
  </si>
  <si>
    <t>Scheve hartschelp</t>
  </si>
  <si>
    <t>Parvicardium scabrum</t>
  </si>
  <si>
    <t>Geschubde hartschelp</t>
  </si>
  <si>
    <t>Patella pellucida</t>
  </si>
  <si>
    <t>Blauwgestreepte schaalhoren</t>
  </si>
  <si>
    <t>Pecten maximus</t>
  </si>
  <si>
    <t>Grote mantel</t>
  </si>
  <si>
    <t>Pedicellina cernua</t>
  </si>
  <si>
    <t>Kelkworm</t>
  </si>
  <si>
    <t>Pegusa lascaris</t>
  </si>
  <si>
    <t>Franse tong</t>
  </si>
  <si>
    <t>Pelvetia canaliculata</t>
  </si>
  <si>
    <t>Groefwier</t>
  </si>
  <si>
    <t>Perforatus perforatus</t>
  </si>
  <si>
    <t>Peringia ulvae</t>
  </si>
  <si>
    <t>Wadslakje</t>
  </si>
  <si>
    <t>Petalonia fascia</t>
  </si>
  <si>
    <t>Dunsteeltje</t>
  </si>
  <si>
    <t>Petricolaria pholadiformis</t>
  </si>
  <si>
    <t>Petromyzon marinus</t>
  </si>
  <si>
    <t>Zeeprik</t>
  </si>
  <si>
    <t>Phaxas pellucidus</t>
  </si>
  <si>
    <t>Sabelschede</t>
  </si>
  <si>
    <t>Philine aperta</t>
  </si>
  <si>
    <t>Schepje</t>
  </si>
  <si>
    <t>Philine catena</t>
  </si>
  <si>
    <t>Ketting-schepje</t>
  </si>
  <si>
    <t>Philine scabra</t>
  </si>
  <si>
    <t>Slank schepje</t>
  </si>
  <si>
    <t>Philocheras trispinosus</t>
  </si>
  <si>
    <t>Driepuntsgarnaal</t>
  </si>
  <si>
    <t>Phoca</t>
  </si>
  <si>
    <t>Phoca vitulina</t>
  </si>
  <si>
    <t>Gewone zeehond</t>
  </si>
  <si>
    <t>Pholas dactylus</t>
  </si>
  <si>
    <t>Pholade</t>
  </si>
  <si>
    <t>Pholis gunnellus</t>
  </si>
  <si>
    <t>Botervis</t>
  </si>
  <si>
    <t>Phorcus lineatus</t>
  </si>
  <si>
    <t>Tandtolhoren</t>
  </si>
  <si>
    <t>Phoronis hippocrepia</t>
  </si>
  <si>
    <t>Kleine hoefijzerworm</t>
  </si>
  <si>
    <t>Phoxichilidium femoratum</t>
  </si>
  <si>
    <t>Foksie</t>
  </si>
  <si>
    <t>Phrynorhombus norvegicus</t>
  </si>
  <si>
    <t>Dwergbot</t>
  </si>
  <si>
    <t>Phtisica marina</t>
  </si>
  <si>
    <t>Teringlijdertje</t>
  </si>
  <si>
    <t>Phyllodoce</t>
  </si>
  <si>
    <t>dieseltreinworm {onb.}</t>
  </si>
  <si>
    <t>Phyllodoce maculata</t>
  </si>
  <si>
    <t>Gestippelde dieseltreinworm</t>
  </si>
  <si>
    <t>Phyllophora membranifolia</t>
  </si>
  <si>
    <t>Phyllophora pseudoceranoides</t>
  </si>
  <si>
    <t>Phymatolithon</t>
  </si>
  <si>
    <t>Phymatolithon lenormandii</t>
  </si>
  <si>
    <t>Rose kalkkorstwier</t>
  </si>
  <si>
    <t>Pilumnus hirtellus</t>
  </si>
  <si>
    <t>Ruig krabbetje</t>
  </si>
  <si>
    <t>Pinnotheres pisum</t>
  </si>
  <si>
    <t>Erwtenkrabbetje</t>
  </si>
  <si>
    <t>Placida dendritica</t>
  </si>
  <si>
    <t>Groene rolsprietslak</t>
  </si>
  <si>
    <t>Platichthys flesus</t>
  </si>
  <si>
    <t>Bot</t>
  </si>
  <si>
    <t>Platynereis dumerilii</t>
  </si>
  <si>
    <t>Pleuronectes platessa</t>
  </si>
  <si>
    <t>Schol</t>
  </si>
  <si>
    <t>Polititapes aureus</t>
  </si>
  <si>
    <t>Gouden tapijtschelp</t>
  </si>
  <si>
    <t>Polititapes rhomboides</t>
  </si>
  <si>
    <t>Gevlamde tapijtschelp</t>
  </si>
  <si>
    <t>Pollachius pollachius</t>
  </si>
  <si>
    <t>Pollak</t>
  </si>
  <si>
    <t>Pollachius virens</t>
  </si>
  <si>
    <t>Koolvis</t>
  </si>
  <si>
    <t>Polycera</t>
  </si>
  <si>
    <t>Polycera faeroensis</t>
  </si>
  <si>
    <t>Breedkop harlekijnslak</t>
  </si>
  <si>
    <t>Polycera quadrilineata</t>
  </si>
  <si>
    <t>Harlekijnslak</t>
  </si>
  <si>
    <t>Polydora</t>
  </si>
  <si>
    <t>Polydora ciliata</t>
  </si>
  <si>
    <t>Slikkokerworm</t>
  </si>
  <si>
    <t>Polymastia mamillaris</t>
  </si>
  <si>
    <t>Polynoidae</t>
  </si>
  <si>
    <t>zeerups {onb.}</t>
  </si>
  <si>
    <t>Polyprion americanus</t>
  </si>
  <si>
    <t>Wrakbaars</t>
  </si>
  <si>
    <t>Polysiphonia brodiei</t>
  </si>
  <si>
    <t>Polysiphonia elongata</t>
  </si>
  <si>
    <t>Stijf buiswier</t>
  </si>
  <si>
    <t>Polysiphonia fucoides</t>
  </si>
  <si>
    <t>Donker buiswier</t>
  </si>
  <si>
    <t>Polysiphonia senticulosa</t>
  </si>
  <si>
    <t>Polysiphonia stricta</t>
  </si>
  <si>
    <t>Fijn buiswier</t>
  </si>
  <si>
    <t>Pomatoschistus</t>
  </si>
  <si>
    <t>grondel {onb.}</t>
  </si>
  <si>
    <t>Pomatoschistus lozanoi</t>
  </si>
  <si>
    <t>Lozano's grondel</t>
  </si>
  <si>
    <t>Pomatoschistus microps</t>
  </si>
  <si>
    <t>Brakwatergrondel</t>
  </si>
  <si>
    <t>Pomatoschistus minutus</t>
  </si>
  <si>
    <t>Dikkopje</t>
  </si>
  <si>
    <t>Pomatoschistus norvegicus</t>
  </si>
  <si>
    <t>Noorse grondel</t>
  </si>
  <si>
    <t>Pomatoschistus pictus</t>
  </si>
  <si>
    <t>Gevlekte grondel</t>
  </si>
  <si>
    <t>Porcellana platycheles</t>
  </si>
  <si>
    <t>Harig porseleinkrabbetje</t>
  </si>
  <si>
    <t>Porphyra</t>
  </si>
  <si>
    <t>purperwier {onb.}</t>
  </si>
  <si>
    <t>Porphyra linearis</t>
  </si>
  <si>
    <t>Slank purperwier</t>
  </si>
  <si>
    <t>Porphyra umbilicalis</t>
  </si>
  <si>
    <t>Potamopyrgus antipodarum</t>
  </si>
  <si>
    <t>Jenkins’ waterhoren</t>
  </si>
  <si>
    <t>Prasiola stipitata</t>
  </si>
  <si>
    <t>Dambordwier</t>
  </si>
  <si>
    <t>Praunus flexuosus</t>
  </si>
  <si>
    <t>Geknikte aasgarnaal</t>
  </si>
  <si>
    <t>Processa</t>
  </si>
  <si>
    <t>Processa canaliculata</t>
  </si>
  <si>
    <t>Propebela turricula</t>
  </si>
  <si>
    <t>Trapgevel</t>
  </si>
  <si>
    <t>Protosuberites denhartogi</t>
  </si>
  <si>
    <t>Oranje korstspons</t>
  </si>
  <si>
    <t>Psammechinus</t>
  </si>
  <si>
    <t>zeeappel {onb.}</t>
  </si>
  <si>
    <t>Pseudopolydora pulchra</t>
  </si>
  <si>
    <t>Psiloteredo megotara</t>
  </si>
  <si>
    <t>Scheepwormp</t>
  </si>
  <si>
    <t>Pterothamnion plumula</t>
  </si>
  <si>
    <t>Punctaria latifolia</t>
  </si>
  <si>
    <t>Warrig dunsteeltje</t>
  </si>
  <si>
    <t>Pungitius pungitius</t>
  </si>
  <si>
    <t>Tiendoornige stekelbaars</t>
  </si>
  <si>
    <t>Pusillina inconspicua</t>
  </si>
  <si>
    <t>Dwerg-drijfhoren</t>
  </si>
  <si>
    <t>Pycnogonida</t>
  </si>
  <si>
    <t>zeespin {onb.}</t>
  </si>
  <si>
    <t>Pycnogonum litorale</t>
  </si>
  <si>
    <t>Michelinmannetje</t>
  </si>
  <si>
    <t>Zandpijp</t>
  </si>
  <si>
    <t>Pyropia leucosticta</t>
  </si>
  <si>
    <t>Gespikkeld purperwier</t>
  </si>
  <si>
    <t>Raja undulata</t>
  </si>
  <si>
    <t>Golfrog</t>
  </si>
  <si>
    <t>Ralfsia verrucosa</t>
  </si>
  <si>
    <t>Bruin korstwier</t>
  </si>
  <si>
    <t>Rangia cuneata</t>
  </si>
  <si>
    <t>Amerikaanse Brakwater-strandschelp</t>
  </si>
  <si>
    <t>Raniceps raninus</t>
  </si>
  <si>
    <t>Vorskwab</t>
  </si>
  <si>
    <t>Regalecus glesne</t>
  </si>
  <si>
    <t>Riemvis</t>
  </si>
  <si>
    <t>Retusa obtusa</t>
  </si>
  <si>
    <t>Oubliehoren</t>
  </si>
  <si>
    <t>Retusa umbilicata</t>
  </si>
  <si>
    <t>Eivormige oubliehoren</t>
  </si>
  <si>
    <t>Rhithropanopeus harrisii</t>
  </si>
  <si>
    <t>Zuiderzeekrabbetje</t>
  </si>
  <si>
    <t>Rhodochorton purpureum</t>
  </si>
  <si>
    <t>Rood pluchewier</t>
  </si>
  <si>
    <t>Rissoa membranacea</t>
  </si>
  <si>
    <t>Vliezig drijfhorentje</t>
  </si>
  <si>
    <t>Rissoa parva</t>
  </si>
  <si>
    <t>Roxania utriculus</t>
  </si>
  <si>
    <t>Eivormige boothoren</t>
  </si>
  <si>
    <t>Ruditapes decussatus</t>
  </si>
  <si>
    <t>Geruite tapijtschelp</t>
  </si>
  <si>
    <t>Ruditapes philippinarum</t>
  </si>
  <si>
    <t>Filippijnse tapijtschelp</t>
  </si>
  <si>
    <t>Ruppia cirrhosa</t>
  </si>
  <si>
    <t>Spiraalruppia</t>
  </si>
  <si>
    <t>Ruppia maritima</t>
  </si>
  <si>
    <t>Snavelruppia</t>
  </si>
  <si>
    <t>Rutilus</t>
  </si>
  <si>
    <t>Sabella</t>
  </si>
  <si>
    <t>Sabella pavonina</t>
  </si>
  <si>
    <t>Waaierkokerworm</t>
  </si>
  <si>
    <t>Sabella spallanzanii</t>
  </si>
  <si>
    <t>Sabellaria alveolata</t>
  </si>
  <si>
    <t>Sagartia elegans</t>
  </si>
  <si>
    <t>Sierlijke slibanemoon</t>
  </si>
  <si>
    <t>Sagitta</t>
  </si>
  <si>
    <t>Salmo salar</t>
  </si>
  <si>
    <t>Zalm</t>
  </si>
  <si>
    <t>Salmo trutta trutta</t>
  </si>
  <si>
    <t>Zeeforel</t>
  </si>
  <si>
    <t>Sander lucioperca</t>
  </si>
  <si>
    <t>Sardina pilchardus</t>
  </si>
  <si>
    <t>Sardien</t>
  </si>
  <si>
    <t>Sarsia</t>
  </si>
  <si>
    <t>Sarsia sarsii</t>
  </si>
  <si>
    <t>Saxicavella jeffreysi</t>
  </si>
  <si>
    <t>Geplooide rotsboorder</t>
  </si>
  <si>
    <t>Scaphander lignarius</t>
  </si>
  <si>
    <t>Bootschelp</t>
  </si>
  <si>
    <t>Schistomysis kervillei</t>
  </si>
  <si>
    <t>Schizomavella</t>
  </si>
  <si>
    <t>Schizomavella linearis</t>
  </si>
  <si>
    <t>Empingmosdiertje</t>
  </si>
  <si>
    <t>Scolelepis foliosa</t>
  </si>
  <si>
    <t>Gemshoornworm</t>
  </si>
  <si>
    <t>Scoloplos armiger</t>
  </si>
  <si>
    <t>Wapenworm</t>
  </si>
  <si>
    <t>Scomber japonicus</t>
  </si>
  <si>
    <t>Spaanse makreel</t>
  </si>
  <si>
    <t>Scomber scombrus</t>
  </si>
  <si>
    <t>Makreel</t>
  </si>
  <si>
    <t>Scomberesox saurus saurus</t>
  </si>
  <si>
    <t>Makreelgeep</t>
  </si>
  <si>
    <t>Scophthalmus maximus</t>
  </si>
  <si>
    <t>Tarbot</t>
  </si>
  <si>
    <t>Scophthalmus rhombus</t>
  </si>
  <si>
    <t>Griet</t>
  </si>
  <si>
    <t>Scruparia chelata</t>
  </si>
  <si>
    <t>Scrupocellaria</t>
  </si>
  <si>
    <t>steencelpoliep {onb.}</t>
  </si>
  <si>
    <t>Scrupocellaria scruposa</t>
  </si>
  <si>
    <t>Steenmosdiertje</t>
  </si>
  <si>
    <t>Scyliorhinus canicula</t>
  </si>
  <si>
    <t>Scyliorhinus stellaris</t>
  </si>
  <si>
    <t>Kathaai</t>
  </si>
  <si>
    <t>Scytosiphon lomentaria</t>
  </si>
  <si>
    <t>Saucijsjeswier</t>
  </si>
  <si>
    <t>Sebastes viviparus</t>
  </si>
  <si>
    <t>Kleine roodbaars</t>
  </si>
  <si>
    <t>Semibalanus balanoides</t>
  </si>
  <si>
    <t>Semisalsa stagnorum</t>
  </si>
  <si>
    <t>Basters drijfslakje</t>
  </si>
  <si>
    <t>Gewone zeekat</t>
  </si>
  <si>
    <t>Sepiella japonica</t>
  </si>
  <si>
    <t>Japanse zeekat</t>
  </si>
  <si>
    <t>Sepiola atlantica</t>
  </si>
  <si>
    <t>Dwerginktvis</t>
  </si>
  <si>
    <t>Seriola</t>
  </si>
  <si>
    <t>Sertularella gayi</t>
  </si>
  <si>
    <t>Sertularia</t>
  </si>
  <si>
    <t>Zeecypres</t>
  </si>
  <si>
    <t>Simnia patula</t>
  </si>
  <si>
    <t>Gestreepte pegelslak</t>
  </si>
  <si>
    <t>Skeneopsis planorbis</t>
  </si>
  <si>
    <t>Zeeposthoren</t>
  </si>
  <si>
    <t>Solea solea</t>
  </si>
  <si>
    <t>Tong</t>
  </si>
  <si>
    <t>Solen marginatus</t>
  </si>
  <si>
    <t>Messchede</t>
  </si>
  <si>
    <t>Somniosus microcephalus</t>
  </si>
  <si>
    <t>Groenlandse haai</t>
  </si>
  <si>
    <t>Sparus aurata</t>
  </si>
  <si>
    <t>Goudbrasem</t>
  </si>
  <si>
    <t>Spatangus purpureus</t>
  </si>
  <si>
    <t>Purperen zeeëgel</t>
  </si>
  <si>
    <t>Sphacelaria</t>
  </si>
  <si>
    <t>Sphaerodorum</t>
  </si>
  <si>
    <t>sphaerodorum {onb.}</t>
  </si>
  <si>
    <t>Sphenia binghami</t>
  </si>
  <si>
    <t>Kleine gaper</t>
  </si>
  <si>
    <t>Spinachia spinachia</t>
  </si>
  <si>
    <t>Zeestekelbaars </t>
  </si>
  <si>
    <t>Spiophanes bombyx</t>
  </si>
  <si>
    <t>Spirobranchus triqueter</t>
  </si>
  <si>
    <t>Driekantige kalkkokerworm</t>
  </si>
  <si>
    <t>Spirorbis</t>
  </si>
  <si>
    <t>Spirorbis spirorbis</t>
  </si>
  <si>
    <t>Spiraalkokerworm</t>
  </si>
  <si>
    <t>Spisula</t>
  </si>
  <si>
    <t>Spisula elliptica</t>
  </si>
  <si>
    <t>Ovale strandschelp</t>
  </si>
  <si>
    <t>Spisula solidissima</t>
  </si>
  <si>
    <t>Reuze-strandschelp</t>
  </si>
  <si>
    <t>Spondyliosoma cantharus</t>
  </si>
  <si>
    <t>Zeekarper</t>
  </si>
  <si>
    <t>Spongonema</t>
  </si>
  <si>
    <t>Sprattus sprattus</t>
  </si>
  <si>
    <t>Sprot</t>
  </si>
  <si>
    <t>Squalus acanthias</t>
  </si>
  <si>
    <t>Blauwgrijze doornhaai</t>
  </si>
  <si>
    <t>Squatina squatina</t>
  </si>
  <si>
    <t>Zee-engel</t>
  </si>
  <si>
    <t>Staurostoma mertensii</t>
  </si>
  <si>
    <t>Stenothoe</t>
  </si>
  <si>
    <t>Stenothoe marina</t>
  </si>
  <si>
    <t>Stenothoe valida</t>
  </si>
  <si>
    <t>Striarca lactea</t>
  </si>
  <si>
    <t>Melkwitte arkschelp</t>
  </si>
  <si>
    <t>Styela clava</t>
  </si>
  <si>
    <t>Knotszakpijp</t>
  </si>
  <si>
    <t>Suberites</t>
  </si>
  <si>
    <t>Suberites ficus</t>
  </si>
  <si>
    <t>Vijgspons</t>
  </si>
  <si>
    <t>Suberites massa</t>
  </si>
  <si>
    <t>Massaspons</t>
  </si>
  <si>
    <t>Suberites virgultosus</t>
  </si>
  <si>
    <t>Wigspons</t>
  </si>
  <si>
    <t>Sycon</t>
  </si>
  <si>
    <t>zakspons {onb.}</t>
  </si>
  <si>
    <t>Sycon ciliatum</t>
  </si>
  <si>
    <t>Gewone zakspons</t>
  </si>
  <si>
    <t>Sycon scaldiense</t>
  </si>
  <si>
    <t>Harige zakspons</t>
  </si>
  <si>
    <t>Symphodus</t>
  </si>
  <si>
    <t>Symphodus bailloni</t>
  </si>
  <si>
    <t>Baillons lipvis</t>
  </si>
  <si>
    <t>Symphodus melops</t>
  </si>
  <si>
    <t>Zwartooglipvis</t>
  </si>
  <si>
    <t>Syngnathus acus</t>
  </si>
  <si>
    <t>Grote zeenaald</t>
  </si>
  <si>
    <t>Syngnathus rostellatus</t>
  </si>
  <si>
    <t>Kleine zeenaald</t>
  </si>
  <si>
    <t>Syngnathus typhle</t>
  </si>
  <si>
    <t>Trompetterzeenaald</t>
  </si>
  <si>
    <t>Synoicum pulmonaria</t>
  </si>
  <si>
    <t>Talitrus saltator</t>
  </si>
  <si>
    <t>Gewone strandvlo</t>
  </si>
  <si>
    <t>Taurulus bubalis</t>
  </si>
  <si>
    <t>Groene zeedonderpad</t>
  </si>
  <si>
    <t>Tectura virginea</t>
  </si>
  <si>
    <t>Gewone schotelhoren</t>
  </si>
  <si>
    <t>Tellimya ferruginosa</t>
  </si>
  <si>
    <t>Ovaal zeeklitschelpje</t>
  </si>
  <si>
    <t>Tellimya tenella</t>
  </si>
  <si>
    <t>Dunschalig zeeklitschelpje</t>
  </si>
  <si>
    <t>Tellina fabula</t>
  </si>
  <si>
    <t>Tellina pygmaea</t>
  </si>
  <si>
    <t>Kleine platschelp</t>
  </si>
  <si>
    <t>Tellina tenuis</t>
  </si>
  <si>
    <t>Tenellia adspersa</t>
  </si>
  <si>
    <t>Brakwater-knotsslak</t>
  </si>
  <si>
    <t>Teredo navalis</t>
  </si>
  <si>
    <t>Paalworm</t>
  </si>
  <si>
    <t>Tergipes tergipes</t>
  </si>
  <si>
    <t>Slanke knotsslak</t>
  </si>
  <si>
    <t>Testudinalia tessulata</t>
  </si>
  <si>
    <t>Tethya aurantium</t>
  </si>
  <si>
    <t>Golfbalspons</t>
  </si>
  <si>
    <t>Thalamophyllia gasti</t>
  </si>
  <si>
    <t>Thecacera pennigera</t>
  </si>
  <si>
    <t>Gestippelde mosdierslak</t>
  </si>
  <si>
    <t>Thorogobius ephippiatus</t>
  </si>
  <si>
    <t>Luipaardgrondel</t>
  </si>
  <si>
    <t>Thracia convexa</t>
  </si>
  <si>
    <t>Bolle papierschelp</t>
  </si>
  <si>
    <t>Thracia phaseolina</t>
  </si>
  <si>
    <t>Gewone papierschelp</t>
  </si>
  <si>
    <t>Thracia pubescens</t>
  </si>
  <si>
    <t>Grote papierschelp</t>
  </si>
  <si>
    <t>Thracia villosiuscula</t>
  </si>
  <si>
    <t>Grove papierschelp</t>
  </si>
  <si>
    <t>Thunnus thynnus</t>
  </si>
  <si>
    <t>Blauwvintonijn</t>
  </si>
  <si>
    <t>Thyasira flexuosa</t>
  </si>
  <si>
    <t>Golfschelp</t>
  </si>
  <si>
    <t>Tiaropsis</t>
  </si>
  <si>
    <t>Timoclea ovata</t>
  </si>
  <si>
    <t>Ovale venusschelp</t>
  </si>
  <si>
    <t>Todarodes sagittatus</t>
  </si>
  <si>
    <t>Grote pijlinktvis</t>
  </si>
  <si>
    <t>Tornus subcarinatus</t>
  </si>
  <si>
    <t>Gekielde cirkelslak</t>
  </si>
  <si>
    <t>Torpedo marmorata</t>
  </si>
  <si>
    <t>Gemarmerde sidderrog</t>
  </si>
  <si>
    <t>Torpedo nobiliana</t>
  </si>
  <si>
    <t>Sidderrog</t>
  </si>
  <si>
    <t>Trachinotus ovatus</t>
  </si>
  <si>
    <t>Gaffelmakreel</t>
  </si>
  <si>
    <t>Trachinus draco</t>
  </si>
  <si>
    <t>Grote pieterman</t>
  </si>
  <si>
    <t>Trachipterus arcticus</t>
  </si>
  <si>
    <t>Bandvis</t>
  </si>
  <si>
    <t>Trachurus</t>
  </si>
  <si>
    <t>Trachurus trachurus</t>
  </si>
  <si>
    <t>Horsmakreel</t>
  </si>
  <si>
    <t>Tricellaria</t>
  </si>
  <si>
    <t>Trichotria pocillum</t>
  </si>
  <si>
    <t>Trigloporus lastoviza</t>
  </si>
  <si>
    <t>Gestreepte poon</t>
  </si>
  <si>
    <t>Triglops murrayi</t>
  </si>
  <si>
    <t>Murray's zeedonderpad</t>
  </si>
  <si>
    <t>Trinchesia</t>
  </si>
  <si>
    <t>Trinectes maculatus</t>
  </si>
  <si>
    <t>Amerikaanse tong</t>
  </si>
  <si>
    <t>Trisopterus esmarkii</t>
  </si>
  <si>
    <t>Kever</t>
  </si>
  <si>
    <t>Trisopterus luscus</t>
  </si>
  <si>
    <t>Steenbolk</t>
  </si>
  <si>
    <t>Trisopterus minutus</t>
  </si>
  <si>
    <t>Dwergbolk</t>
  </si>
  <si>
    <t>Tritonia hombergii</t>
  </si>
  <si>
    <t>Grote tritonia</t>
  </si>
  <si>
    <t>Tritonia plebeia</t>
  </si>
  <si>
    <t>Kleine tritonia</t>
  </si>
  <si>
    <t>Trivia</t>
  </si>
  <si>
    <t>koffieboontje {onb.}</t>
  </si>
  <si>
    <t>Trivia arctica</t>
  </si>
  <si>
    <t>Ongevlekt koffieboontje</t>
  </si>
  <si>
    <t>Trivia monacha</t>
  </si>
  <si>
    <t>Gevlekt koffieboontje</t>
  </si>
  <si>
    <t>Trophonopsis muricata</t>
  </si>
  <si>
    <t>Geruite ribhoren</t>
  </si>
  <si>
    <t>Tubulanus</t>
  </si>
  <si>
    <t>Tubularia</t>
  </si>
  <si>
    <t>Pennenschaft</t>
  </si>
  <si>
    <t>Turbonilla lactea</t>
  </si>
  <si>
    <t>Melkwitte priemhoren</t>
  </si>
  <si>
    <t>Turbonilla pusilla</t>
  </si>
  <si>
    <t>Kleine priemhoren</t>
  </si>
  <si>
    <t>Turritella communis</t>
  </si>
  <si>
    <t>Penhoren</t>
  </si>
  <si>
    <t>Tursiops truncatus</t>
  </si>
  <si>
    <t>Tuimelaar</t>
  </si>
  <si>
    <t>Ulva</t>
  </si>
  <si>
    <t>darmwier/zeesla {onb.}</t>
  </si>
  <si>
    <t>Ulva compressa</t>
  </si>
  <si>
    <t>Plat darmwier</t>
  </si>
  <si>
    <t>Ulva intestinalis</t>
  </si>
  <si>
    <t>Echt darmwier</t>
  </si>
  <si>
    <t>Ulva lactuca</t>
  </si>
  <si>
    <t>Ulva linza</t>
  </si>
  <si>
    <t>Breed darmwier</t>
  </si>
  <si>
    <t>Ulva pertusa</t>
  </si>
  <si>
    <t>Geperforeerde zeesla</t>
  </si>
  <si>
    <t>Ulva pseudocurvata</t>
  </si>
  <si>
    <t>Gekromde zeesla</t>
  </si>
  <si>
    <t>Ulva rigida</t>
  </si>
  <si>
    <t>Stijve zeesla</t>
  </si>
  <si>
    <t>Undeuchaeta</t>
  </si>
  <si>
    <t>Urosalpinx cinerea</t>
  </si>
  <si>
    <t>Amerikaanse oesterboorder</t>
  </si>
  <si>
    <t>Urticina eques</t>
  </si>
  <si>
    <t>Urticina felina</t>
  </si>
  <si>
    <t>Zeedahlia</t>
  </si>
  <si>
    <t>Vaucheria</t>
  </si>
  <si>
    <t>Velutina velutina</t>
  </si>
  <si>
    <t>Fluweelhoren</t>
  </si>
  <si>
    <t>Velutinidae</t>
  </si>
  <si>
    <t>Venerupis corrugata</t>
  </si>
  <si>
    <t>Vertebrata lanosa</t>
  </si>
  <si>
    <t>Klein buiswier</t>
  </si>
  <si>
    <t>Vitreolina antiflexa</t>
  </si>
  <si>
    <t>Zwakgebogen glanshorentje</t>
  </si>
  <si>
    <t>Walkeria</t>
  </si>
  <si>
    <t>Xanthoria parietina</t>
  </si>
  <si>
    <t>Gele dooierspons</t>
  </si>
  <si>
    <t>Xiphias gladius</t>
  </si>
  <si>
    <t>Zwaardvis</t>
  </si>
  <si>
    <t>Xylophaga dorsalis</t>
  </si>
  <si>
    <t>Houtboormossel</t>
  </si>
  <si>
    <t>Zannichellia major</t>
  </si>
  <si>
    <t>Brede zannichellia</t>
  </si>
  <si>
    <t>Zannichellia palustris</t>
  </si>
  <si>
    <t>Gesteelde zannichellia</t>
  </si>
  <si>
    <t>Zeugopterus punctatus</t>
  </si>
  <si>
    <t>Gevlekte griet</t>
  </si>
  <si>
    <t>Zeus faber</t>
  </si>
  <si>
    <t>Zonnevis</t>
  </si>
  <si>
    <t>Zoarces viviparus</t>
  </si>
  <si>
    <t>Puitaal</t>
  </si>
  <si>
    <t>Zostera</t>
  </si>
  <si>
    <t>zeegras {onb.}</t>
  </si>
  <si>
    <t>Zostera marina</t>
  </si>
  <si>
    <t>Groot zeegras</t>
  </si>
  <si>
    <t>Zostera noltei</t>
  </si>
  <si>
    <t>Klein zeegras</t>
  </si>
  <si>
    <t>Naam</t>
  </si>
  <si>
    <t>Gegevens</t>
  </si>
  <si>
    <t>XX</t>
  </si>
  <si>
    <t>Project:</t>
  </si>
  <si>
    <t>Toelichting</t>
  </si>
  <si>
    <t>Formuliertype:</t>
  </si>
  <si>
    <t>PGO:</t>
  </si>
  <si>
    <t>Stichting ANEMOON, Postbus 29, 2020 AA Bennebroek</t>
  </si>
  <si>
    <t>Toelichting:</t>
  </si>
  <si>
    <t>Mail dit formulier naar:</t>
  </si>
  <si>
    <t>Abundantieklasse:</t>
  </si>
  <si>
    <r>
      <t xml:space="preserve">Aantal exemplaren of kolonies </t>
    </r>
    <r>
      <rPr>
        <sz val="10"/>
        <color indexed="10"/>
        <rFont val="Arial"/>
        <family val="2"/>
      </rPr>
      <t>(k)</t>
    </r>
    <r>
      <rPr>
        <sz val="10"/>
        <color indexed="18"/>
        <rFont val="Arial"/>
        <family val="2"/>
      </rPr>
      <t xml:space="preserve"> per traject</t>
    </r>
  </si>
  <si>
    <t>Eerste waarnemer:</t>
  </si>
  <si>
    <t xml:space="preserve">A0: </t>
  </si>
  <si>
    <t>0 (Vakje leeg laten)</t>
  </si>
  <si>
    <t>Adres:</t>
  </si>
  <si>
    <t xml:space="preserve">A1: </t>
  </si>
  <si>
    <t>1-9</t>
  </si>
  <si>
    <t>Plaats:</t>
  </si>
  <si>
    <t>Postcode:</t>
  </si>
  <si>
    <t xml:space="preserve">A2: </t>
  </si>
  <si>
    <t>10-99</t>
  </si>
  <si>
    <t>Tel:</t>
  </si>
  <si>
    <t xml:space="preserve">A3: </t>
  </si>
  <si>
    <t>100-999</t>
  </si>
  <si>
    <t>e-mail:</t>
  </si>
  <si>
    <t xml:space="preserve">A4: </t>
  </si>
  <si>
    <t>1000-9999</t>
  </si>
  <si>
    <t xml:space="preserve">A5: </t>
  </si>
  <si>
    <t>10000-99999</t>
  </si>
  <si>
    <t>Tweede waarnemer:</t>
  </si>
  <si>
    <t xml:space="preserve">A6: </t>
  </si>
  <si>
    <t>Meer dan 100000</t>
  </si>
  <si>
    <t xml:space="preserve">XX: </t>
  </si>
  <si>
    <t>Niet op soort/categorie gelet</t>
  </si>
  <si>
    <t>Schrijf waarnemingen van vondsten afkomstig uit kornet bij bijschrijfsoorten</t>
  </si>
  <si>
    <t>Trajectnaam:</t>
  </si>
  <si>
    <t>Zoektijd eblijn:</t>
  </si>
  <si>
    <t>Zoektijd vloedlijn:</t>
  </si>
  <si>
    <t>Holtedieren</t>
  </si>
  <si>
    <t>Aurelia aurita</t>
  </si>
  <si>
    <t>Oorkwal</t>
  </si>
  <si>
    <t>Chrysaora hysoscella</t>
  </si>
  <si>
    <t>Kompaskwal</t>
  </si>
  <si>
    <t>Sertularia cupressina</t>
  </si>
  <si>
    <r>
      <t>Zeecypres</t>
    </r>
    <r>
      <rPr>
        <sz val="10"/>
        <color indexed="10"/>
        <rFont val="Arial"/>
        <family val="2"/>
      </rPr>
      <t xml:space="preserve"> (k)</t>
    </r>
  </si>
  <si>
    <t>Cyanea lamarckii</t>
  </si>
  <si>
    <t>Blauwe haarkwal</t>
  </si>
  <si>
    <t>Tubularia indivisa</t>
  </si>
  <si>
    <r>
      <t xml:space="preserve">Pennenschaft </t>
    </r>
    <r>
      <rPr>
        <sz val="10"/>
        <color indexed="10"/>
        <rFont val="Arial"/>
        <family val="2"/>
      </rPr>
      <t>(k)</t>
    </r>
  </si>
  <si>
    <t>Rhizostoma pulmo</t>
  </si>
  <si>
    <t>Zeepaddestoel</t>
  </si>
  <si>
    <t xml:space="preserve">Mnemiopsis leidyi </t>
  </si>
  <si>
    <t>Amerikaanse ribkwal</t>
  </si>
  <si>
    <t>Wieren</t>
  </si>
  <si>
    <t>Pleurobrachia pileus</t>
  </si>
  <si>
    <t>Zeedruif</t>
  </si>
  <si>
    <t>Ascophyllum nodosum</t>
  </si>
  <si>
    <t>Knotswier</t>
  </si>
  <si>
    <t>Chondrus crispus</t>
  </si>
  <si>
    <t>Codium fragile</t>
  </si>
  <si>
    <t>Viltwier</t>
  </si>
  <si>
    <t>Metridium senile</t>
  </si>
  <si>
    <t>Zeeanjelier</t>
  </si>
  <si>
    <t>Dictyota dichotoma</t>
  </si>
  <si>
    <t>Gaffelwier</t>
  </si>
  <si>
    <t>Sagartia troglodytes</t>
  </si>
  <si>
    <t>Slibanemoon</t>
  </si>
  <si>
    <t>Sagartiogeton undatus</t>
  </si>
  <si>
    <t>Weduweroos</t>
  </si>
  <si>
    <t>Fucus vesiculosus</t>
  </si>
  <si>
    <t>Blaaswier</t>
  </si>
  <si>
    <t>Abietinaria abietina</t>
  </si>
  <si>
    <r>
      <t xml:space="preserve">Zeedennetje </t>
    </r>
    <r>
      <rPr>
        <sz val="10"/>
        <color indexed="10"/>
        <rFont val="Arial"/>
        <family val="2"/>
      </rPr>
      <t>(k)</t>
    </r>
  </si>
  <si>
    <t>Fucus serratus</t>
  </si>
  <si>
    <t>Ectopleura larynx</t>
  </si>
  <si>
    <r>
      <t>Gorgelpijppoliep</t>
    </r>
    <r>
      <rPr>
        <sz val="10"/>
        <color indexed="10"/>
        <rFont val="Arial"/>
        <family val="2"/>
      </rPr>
      <t xml:space="preserve"> (k)</t>
    </r>
  </si>
  <si>
    <r>
      <t>Hartlaubella gelatinosa</t>
    </r>
    <r>
      <rPr>
        <sz val="12"/>
        <color indexed="8"/>
        <rFont val="Arial"/>
        <family val="2"/>
      </rPr>
      <t xml:space="preserve"> </t>
    </r>
  </si>
  <si>
    <r>
      <t>Gedraaide zeedraad</t>
    </r>
    <r>
      <rPr>
        <sz val="10"/>
        <color indexed="10"/>
        <rFont val="Arial"/>
        <family val="2"/>
      </rPr>
      <t xml:space="preserve"> (k)</t>
    </r>
  </si>
  <si>
    <t>Knoopwier</t>
  </si>
  <si>
    <t>Hydractinia echinata</t>
  </si>
  <si>
    <t>A1</t>
  </si>
  <si>
    <t>Halidrys siliquosa</t>
  </si>
  <si>
    <t>Hauwwier</t>
  </si>
  <si>
    <t>Himanthalia elongata</t>
  </si>
  <si>
    <t>Riemwier</t>
  </si>
  <si>
    <t>Wormen</t>
  </si>
  <si>
    <t>Levend</t>
  </si>
  <si>
    <t>Suikerwier</t>
  </si>
  <si>
    <t>Purperwier</t>
  </si>
  <si>
    <t>Lanice conchilega</t>
  </si>
  <si>
    <t>Schelpkokerworm</t>
  </si>
  <si>
    <t>A4</t>
  </si>
  <si>
    <t>A2</t>
  </si>
  <si>
    <t>Sargassum muticum</t>
  </si>
  <si>
    <t>Lagis koreni</t>
  </si>
  <si>
    <t>Goudkammetje</t>
  </si>
  <si>
    <t>Pygospio elegans</t>
  </si>
  <si>
    <t>Zandkokerworm</t>
  </si>
  <si>
    <t>Undaria pinnatifida</t>
  </si>
  <si>
    <t>Wakame</t>
  </si>
  <si>
    <t xml:space="preserve">Slakken </t>
  </si>
  <si>
    <t>Leeg huisje</t>
  </si>
  <si>
    <t>Ei/Eikapsel</t>
  </si>
  <si>
    <t>Buccinum undatum</t>
  </si>
  <si>
    <t xml:space="preserve">Wulk </t>
  </si>
  <si>
    <t>Crepidula fornicata</t>
  </si>
  <si>
    <t>Muiltje</t>
  </si>
  <si>
    <t>Epitonium clathrus</t>
  </si>
  <si>
    <t>Wenteltrap</t>
  </si>
  <si>
    <t>Euspira catena</t>
  </si>
  <si>
    <t>Euspira pulchella</t>
  </si>
  <si>
    <t>Glanzende tepelhoren</t>
  </si>
  <si>
    <t>Nassarius reticulatus</t>
  </si>
  <si>
    <t>Gevlochten fuikhoren</t>
  </si>
  <si>
    <t>Purperslak</t>
  </si>
  <si>
    <t>Schaalhoren</t>
  </si>
  <si>
    <t>Inktvissen</t>
  </si>
  <si>
    <t>Schild</t>
  </si>
  <si>
    <t>Met vlees</t>
  </si>
  <si>
    <t>Eieren</t>
  </si>
  <si>
    <t xml:space="preserve">Alloteuthis subulata </t>
  </si>
  <si>
    <t>Dwergpijlinktvis</t>
  </si>
  <si>
    <t>Sepia officinalis</t>
  </si>
  <si>
    <t>Zeekat</t>
  </si>
  <si>
    <t>Sepia elegans</t>
  </si>
  <si>
    <t>Sierlijke zeekat</t>
  </si>
  <si>
    <t>Sepia orbignyana</t>
  </si>
  <si>
    <t>Gedoornde zeekat</t>
  </si>
  <si>
    <t>Tweekleppigen (1)</t>
  </si>
  <si>
    <t>Enkel</t>
  </si>
  <si>
    <t>Doublet</t>
  </si>
  <si>
    <t xml:space="preserve">Abra alba </t>
  </si>
  <si>
    <t>Barnea candida</t>
  </si>
  <si>
    <t>Cerastoderma edule</t>
  </si>
  <si>
    <t>Kokkel</t>
  </si>
  <si>
    <t>Chamelea striatula</t>
  </si>
  <si>
    <t>Venusschelp</t>
  </si>
  <si>
    <t>Crassostrea gigas</t>
  </si>
  <si>
    <t>Donax vittatus</t>
  </si>
  <si>
    <t>Zaagje</t>
  </si>
  <si>
    <t>Ensis directus</t>
  </si>
  <si>
    <t>A3</t>
  </si>
  <si>
    <t>Ensis magnus</t>
  </si>
  <si>
    <t>Ensis ensis ensis</t>
  </si>
  <si>
    <t>Enisis ensis phaxoides</t>
  </si>
  <si>
    <t>Ensis minor</t>
  </si>
  <si>
    <t>Tweekleppigen (2)</t>
  </si>
  <si>
    <t>Lutraria lutraria</t>
  </si>
  <si>
    <t>Otterschelp</t>
  </si>
  <si>
    <t>Macoma balthica</t>
  </si>
  <si>
    <t>Nonnetje</t>
  </si>
  <si>
    <t>Mactra stultorum</t>
  </si>
  <si>
    <t>Mya arenaria</t>
  </si>
  <si>
    <t>Strandgaper</t>
  </si>
  <si>
    <t>Mya truncata</t>
  </si>
  <si>
    <t>Mytilus edulis</t>
  </si>
  <si>
    <t>Mossel</t>
  </si>
  <si>
    <t>Ostrea edulis</t>
  </si>
  <si>
    <t>Petricola pholadiformis</t>
  </si>
  <si>
    <t>Scrobicularia plana</t>
  </si>
  <si>
    <t>Spisula subtruncata</t>
  </si>
  <si>
    <t>Spisula solida</t>
  </si>
  <si>
    <t>Venerupis senegalensis</t>
  </si>
  <si>
    <t>Tapijtschelp</t>
  </si>
  <si>
    <t>Zirfaea crispata</t>
  </si>
  <si>
    <t xml:space="preserve">Semibalanus balanoides </t>
  </si>
  <si>
    <t>Hyperia galba</t>
  </si>
  <si>
    <t>Kwalvlo</t>
  </si>
  <si>
    <t>Idotea balthica</t>
  </si>
  <si>
    <t>Sacculina carcini</t>
  </si>
  <si>
    <t>Krabbenzakje</t>
  </si>
  <si>
    <t>Vulkaantje</t>
  </si>
  <si>
    <t xml:space="preserve">Lepas anatifera </t>
  </si>
  <si>
    <t>Eendenmossel</t>
  </si>
  <si>
    <t>Ligia oceanica</t>
  </si>
  <si>
    <t>Havenpissenbed</t>
  </si>
  <si>
    <t>Grote kreeftachtigen</t>
  </si>
  <si>
    <t>Fragmenten</t>
  </si>
  <si>
    <t>Dood</t>
  </si>
  <si>
    <t>Vervellingshuid</t>
  </si>
  <si>
    <t>Met ei</t>
  </si>
  <si>
    <t>Crangon crangon</t>
  </si>
  <si>
    <t>Noordzeekrab</t>
  </si>
  <si>
    <t>Carcinus maenas</t>
  </si>
  <si>
    <t>Strandkrab</t>
  </si>
  <si>
    <t>Corystes cassivelaunus</t>
  </si>
  <si>
    <t>Helmkrab</t>
  </si>
  <si>
    <t>Eriocheir sinensis</t>
  </si>
  <si>
    <t>Wolhandkrab</t>
  </si>
  <si>
    <t>Hemigrapsus sanguineus</t>
  </si>
  <si>
    <t>Blaasjeskrab</t>
  </si>
  <si>
    <t>Hemigrapsus penicillatus</t>
  </si>
  <si>
    <t>Penseelkrab</t>
  </si>
  <si>
    <t>Liocarcinus holsatus</t>
  </si>
  <si>
    <t>Liocarcinus marmoreus</t>
  </si>
  <si>
    <t>Necora puber</t>
  </si>
  <si>
    <t>Portumnus latipes</t>
  </si>
  <si>
    <t>Breedpootkrab</t>
  </si>
  <si>
    <t>Thia scutellata</t>
  </si>
  <si>
    <t>Nagelkrab</t>
  </si>
  <si>
    <t>Diogenes pugilator</t>
  </si>
  <si>
    <t>Stekelhuidigen</t>
  </si>
  <si>
    <t>Skelet</t>
  </si>
  <si>
    <t>Vleesresten</t>
  </si>
  <si>
    <t>Asterias rubens</t>
  </si>
  <si>
    <t>Zeester</t>
  </si>
  <si>
    <t>Echinocardium cordatum</t>
  </si>
  <si>
    <t>Zeeklit</t>
  </si>
  <si>
    <t>Echinocyamus pusillus</t>
  </si>
  <si>
    <t>Zeeboontje</t>
  </si>
  <si>
    <t>Ophiura ophiura</t>
  </si>
  <si>
    <t>Ophiothrix fragilis</t>
  </si>
  <si>
    <t>Brokkelster</t>
  </si>
  <si>
    <t>Psammechinus miliaris</t>
  </si>
  <si>
    <t>Zeeappel</t>
  </si>
  <si>
    <t>Haaien en roggen</t>
  </si>
  <si>
    <t>Eikapsel</t>
  </si>
  <si>
    <t>Met embryo</t>
  </si>
  <si>
    <t>Mosdiertjes</t>
  </si>
  <si>
    <t>Amblyraja radiata</t>
  </si>
  <si>
    <t>Sterrog</t>
  </si>
  <si>
    <t>Leucoraja naevus</t>
  </si>
  <si>
    <t>Grootoogrog</t>
  </si>
  <si>
    <r>
      <t>Electra pilosa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(k)</t>
    </r>
  </si>
  <si>
    <t>Raja brachyura</t>
  </si>
  <si>
    <r>
      <t xml:space="preserve">Flustra foliacea </t>
    </r>
    <r>
      <rPr>
        <sz val="10"/>
        <color indexed="10"/>
        <rFont val="Arial"/>
        <family val="2"/>
      </rPr>
      <t>(k)</t>
    </r>
  </si>
  <si>
    <t>Raja clavata</t>
  </si>
  <si>
    <t>Stekelrog</t>
  </si>
  <si>
    <r>
      <t xml:space="preserve">Membranipora membranacea </t>
    </r>
    <r>
      <rPr>
        <sz val="10"/>
        <color indexed="10"/>
        <rFont val="Arial"/>
        <family val="2"/>
      </rPr>
      <t>(k)</t>
    </r>
  </si>
  <si>
    <t>Raja microocellata</t>
  </si>
  <si>
    <t>Kleinoogrog</t>
  </si>
  <si>
    <r>
      <t>Conopeum reticulum</t>
    </r>
    <r>
      <rPr>
        <sz val="10"/>
        <color indexed="10"/>
        <rFont val="Arial"/>
        <family val="2"/>
      </rPr>
      <t xml:space="preserve"> (k)</t>
    </r>
  </si>
  <si>
    <t>Zeevitrage</t>
  </si>
  <si>
    <t>Raja montagui</t>
  </si>
  <si>
    <t>Scyliorhinus caniculus</t>
  </si>
  <si>
    <t>Hondshaai</t>
  </si>
  <si>
    <t>Categorie</t>
  </si>
  <si>
    <t>Omschrijving</t>
  </si>
  <si>
    <t>Bijschrijfsoorten</t>
  </si>
  <si>
    <t>Abundantie</t>
  </si>
  <si>
    <t>Lev</t>
  </si>
  <si>
    <t>Dub</t>
  </si>
  <si>
    <t>Enk</t>
  </si>
  <si>
    <t>Enkele klep</t>
  </si>
  <si>
    <t>Hui</t>
  </si>
  <si>
    <t>Vle</t>
  </si>
  <si>
    <t>Doo</t>
  </si>
  <si>
    <t>Sch</t>
  </si>
  <si>
    <t>Schild/skelet</t>
  </si>
  <si>
    <t>Fra</t>
  </si>
  <si>
    <t>Ver</t>
  </si>
  <si>
    <t>Vervellingshuidje</t>
  </si>
  <si>
    <t>Sub</t>
  </si>
  <si>
    <t>Subfossiel</t>
  </si>
  <si>
    <t>Fos</t>
  </si>
  <si>
    <t>Fossiel</t>
  </si>
  <si>
    <t>Eik</t>
  </si>
  <si>
    <t xml:space="preserve">Ei </t>
  </si>
  <si>
    <t>Kor</t>
  </si>
  <si>
    <t xml:space="preserve"> </t>
  </si>
  <si>
    <t>traject</t>
  </si>
  <si>
    <t>IJmuiden</t>
  </si>
  <si>
    <t>Katwijk-Noordwijk</t>
  </si>
  <si>
    <t>Neeltje Jans</t>
  </si>
  <si>
    <t>Petten</t>
  </si>
  <si>
    <t>Texel</t>
  </si>
  <si>
    <t>Camperduin</t>
  </si>
  <si>
    <t>Castricum</t>
  </si>
  <si>
    <t>Den Haag</t>
  </si>
  <si>
    <t>Traject nr</t>
  </si>
  <si>
    <t>dood/levend</t>
  </si>
  <si>
    <t>A5</t>
  </si>
  <si>
    <t>A6</t>
  </si>
  <si>
    <t>voorkomen</t>
  </si>
  <si>
    <t>Witte_dunschaal</t>
  </si>
  <si>
    <t>Witte_boormossel</t>
  </si>
  <si>
    <t>Japanse_oester</t>
  </si>
  <si>
    <t>Amerikaanse_zwaardschede</t>
  </si>
  <si>
    <t>Grote_zwaardschede</t>
  </si>
  <si>
    <t>Kleine_zwaardschede</t>
  </si>
  <si>
    <t>Brede_kleine_zwaardschede</t>
  </si>
  <si>
    <t>Klein_tafelmesheft</t>
  </si>
  <si>
    <t>Groot_tafelmesheft</t>
  </si>
  <si>
    <t>Grote_strandschelp</t>
  </si>
  <si>
    <t>Afgeknotte_strandgaper</t>
  </si>
  <si>
    <t>Platte_oester</t>
  </si>
  <si>
    <t>Amerikaanse_boormossel</t>
  </si>
  <si>
    <t>Platte_slijkgaper</t>
  </si>
  <si>
    <t>Halfgeknotte_strandschelp</t>
  </si>
  <si>
    <t>Stevige_strandschelp</t>
  </si>
  <si>
    <t>Rechtsgestreepte_platschelp</t>
  </si>
  <si>
    <t>Tere_platschelp</t>
  </si>
  <si>
    <t>Ruwe_boormossel</t>
  </si>
  <si>
    <t>Gewone_garnaal</t>
  </si>
  <si>
    <t>Gewimperde_zwemkrab</t>
  </si>
  <si>
    <t>Gewone_zwemkrab</t>
  </si>
  <si>
    <t>Gemarmerde_zwemkrab</t>
  </si>
  <si>
    <t>Fluwelen_zwemkrab</t>
  </si>
  <si>
    <t>Kleine_heremietkreeft</t>
  </si>
  <si>
    <t>Gewone_heremietkreeft</t>
  </si>
  <si>
    <t>Blonde_rog</t>
  </si>
  <si>
    <t>Gevlekte_rog</t>
  </si>
  <si>
    <t>Doorschijn._zeevinger</t>
  </si>
  <si>
    <t>Gew._zeepissebed</t>
  </si>
  <si>
    <t>Gewone_zeepok</t>
  </si>
  <si>
    <t>Brakwater_zeepok</t>
  </si>
  <si>
    <t>Nieuw_Zeelandse_zeepok</t>
  </si>
  <si>
    <t>Strek</t>
  </si>
  <si>
    <t xml:space="preserve">Substraat </t>
  </si>
  <si>
    <t>Drijvend/Strek</t>
  </si>
  <si>
    <t>adres1</t>
  </si>
  <si>
    <t>adres2</t>
  </si>
  <si>
    <t>Afgeknotte_strandgaper_d</t>
  </si>
  <si>
    <t>Afgeknotte_strandgaper_v</t>
  </si>
  <si>
    <t>afstand</t>
  </si>
  <si>
    <t>Amerikaanse_boormossel_d</t>
  </si>
  <si>
    <t>Amerikaanse_boormossel_v</t>
  </si>
  <si>
    <t>Amerikaanse_ribkwal</t>
  </si>
  <si>
    <t>Amerikaanse_zwaardschede_d</t>
  </si>
  <si>
    <t>Amerikaanse_zwaardschede_v</t>
  </si>
  <si>
    <t>Bij_ab01</t>
  </si>
  <si>
    <t>Bij_ab02</t>
  </si>
  <si>
    <t>Bij_ab03</t>
  </si>
  <si>
    <t>Bij_ab04</t>
  </si>
  <si>
    <t>Bij_ab05</t>
  </si>
  <si>
    <t>Bij_ab06</t>
  </si>
  <si>
    <t>Bij_ab07</t>
  </si>
  <si>
    <t>Bij_ab08</t>
  </si>
  <si>
    <t>Bij_ab09</t>
  </si>
  <si>
    <t>Bij_ab10</t>
  </si>
  <si>
    <t>Bij_ab11</t>
  </si>
  <si>
    <t>Bij_ab12</t>
  </si>
  <si>
    <t>Bij_ab13</t>
  </si>
  <si>
    <t>Bij_cat01</t>
  </si>
  <si>
    <t>Bij_cat02</t>
  </si>
  <si>
    <t>Bij_cat03</t>
  </si>
  <si>
    <t>Bij_cat04</t>
  </si>
  <si>
    <t>Bij_cat05</t>
  </si>
  <si>
    <t>Bij_cat06</t>
  </si>
  <si>
    <t>Bij_cat07</t>
  </si>
  <si>
    <t>Bij_cat08</t>
  </si>
  <si>
    <t>Bij_cat09</t>
  </si>
  <si>
    <t>Bij_cat10</t>
  </si>
  <si>
    <t>Bij_cat11</t>
  </si>
  <si>
    <t>Bij_cat12</t>
  </si>
  <si>
    <t>Bij_cat13</t>
  </si>
  <si>
    <t>Bij_lat01</t>
  </si>
  <si>
    <t>Bij_lat02</t>
  </si>
  <si>
    <t>Bij_lat03</t>
  </si>
  <si>
    <t>Bij_lat04</t>
  </si>
  <si>
    <t>Bij_lat05</t>
  </si>
  <si>
    <t>Bij_lat06</t>
  </si>
  <si>
    <t>Bij_lat07</t>
  </si>
  <si>
    <t>Bij_lat08</t>
  </si>
  <si>
    <t>Bij_lat09</t>
  </si>
  <si>
    <t>Bij_lat10</t>
  </si>
  <si>
    <t>Bij_lat11</t>
  </si>
  <si>
    <t>Bij_lat12</t>
  </si>
  <si>
    <t>Bij_lat13</t>
  </si>
  <si>
    <t>Bij_ned01</t>
  </si>
  <si>
    <t>Bij_ned02</t>
  </si>
  <si>
    <t>Bij_ned03</t>
  </si>
  <si>
    <t>Bij_ned04</t>
  </si>
  <si>
    <t>Bij_ned05</t>
  </si>
  <si>
    <t>Bij_ned06</t>
  </si>
  <si>
    <t>Bij_ned07</t>
  </si>
  <si>
    <t>Bij_ned08</t>
  </si>
  <si>
    <t>Bij_ned09</t>
  </si>
  <si>
    <t>Bij_ned10</t>
  </si>
  <si>
    <t>Bij_ned11</t>
  </si>
  <si>
    <t>Bij_ned12</t>
  </si>
  <si>
    <t>Bij_ned13</t>
  </si>
  <si>
    <t>Bij_sd01</t>
  </si>
  <si>
    <t>Bij_sd02</t>
  </si>
  <si>
    <t>Bij_sd03</t>
  </si>
  <si>
    <t>Bij_sd04</t>
  </si>
  <si>
    <t>Bij_sd05</t>
  </si>
  <si>
    <t>Bij_sd06</t>
  </si>
  <si>
    <t>Bij_sd07</t>
  </si>
  <si>
    <t>Bij_sd08</t>
  </si>
  <si>
    <t>Bij_sd09</t>
  </si>
  <si>
    <t>Bij_sd10</t>
  </si>
  <si>
    <t>Bij_sd11</t>
  </si>
  <si>
    <t>Bij_sd12</t>
  </si>
  <si>
    <t>Bij_sd13</t>
  </si>
  <si>
    <t>Blaasjeskrab_d</t>
  </si>
  <si>
    <t>Blaasjeskrab_ei</t>
  </si>
  <si>
    <t>Blaasjeskrab_l</t>
  </si>
  <si>
    <t>Blaasjeskrab_v</t>
  </si>
  <si>
    <t>Blauwe_haarkwal</t>
  </si>
  <si>
    <t>Blonde_rog_e</t>
  </si>
  <si>
    <t>Brede_kleine_zwaardschede_d</t>
  </si>
  <si>
    <t>Breedpootkrab_d</t>
  </si>
  <si>
    <t>Breedpootkrab_ei</t>
  </si>
  <si>
    <t>Breedpootkrab_l</t>
  </si>
  <si>
    <t>Breedpootkrab_v</t>
  </si>
  <si>
    <t>Brokkelster_l</t>
  </si>
  <si>
    <t>Brokkelster_v</t>
  </si>
  <si>
    <t>datum</t>
  </si>
  <si>
    <t>Dwergpijlinktvis_ei</t>
  </si>
  <si>
    <t>Dwergpijlinktvis_v</t>
  </si>
  <si>
    <t>Email1</t>
  </si>
  <si>
    <t>email2</t>
  </si>
  <si>
    <t>Fluwelen_zwemkrab_d</t>
  </si>
  <si>
    <t>Fluwelen_zwemkrab_ei</t>
  </si>
  <si>
    <t>Fluwelen_zwemkrab_l</t>
  </si>
  <si>
    <t>Fluwelen_zwemkrab_v</t>
  </si>
  <si>
    <t>Gedoornde_zeekat</t>
  </si>
  <si>
    <t>Gedoornde_zeekat_ei</t>
  </si>
  <si>
    <t>Gedoornde_zeekat_v</t>
  </si>
  <si>
    <t>Gemarmerde_zwemkrab_d</t>
  </si>
  <si>
    <t>Gemarmerde_zwemkrab_ei</t>
  </si>
  <si>
    <t>Gemarmerde_zwemkrab_l</t>
  </si>
  <si>
    <t>Gemarmerde_zwemkrab_v</t>
  </si>
  <si>
    <t>Gevlekte_rog_e</t>
  </si>
  <si>
    <t>Gevlochten_fuikhoren</t>
  </si>
  <si>
    <t>Gevlochten_fuikhoren_ei</t>
  </si>
  <si>
    <t>Gevlochten_fuikhoren_l</t>
  </si>
  <si>
    <t>Gewimperde_zwemkrab_d</t>
  </si>
  <si>
    <t>Gewimperde_zwemkrab_ei</t>
  </si>
  <si>
    <t>Gewimperde_zwemkrab_l</t>
  </si>
  <si>
    <t>Gewimperde_zwemkrab_v</t>
  </si>
  <si>
    <t>Gewone_alikruik</t>
  </si>
  <si>
    <t>Gewone_alikruik_l</t>
  </si>
  <si>
    <t>Gewone_garnaal_d</t>
  </si>
  <si>
    <t>Gewone_garnaal_ei</t>
  </si>
  <si>
    <t>Gewone_garnaal_l</t>
  </si>
  <si>
    <t>Gewone_garnaal_v</t>
  </si>
  <si>
    <t>Gewone_heremietkreeft_d</t>
  </si>
  <si>
    <t>Gewone_heremietkreeft_ei</t>
  </si>
  <si>
    <t>Gewone_heremietkreeft_l</t>
  </si>
  <si>
    <t>Gewone_heremietkreeft_v</t>
  </si>
  <si>
    <t>Gewone_zwemkrab_d</t>
  </si>
  <si>
    <t>Gewone_zwemkrab_ei</t>
  </si>
  <si>
    <t>Gewone_zwemkrab_l</t>
  </si>
  <si>
    <t>Gewone_zwemkrab_v</t>
  </si>
  <si>
    <t>Glanzende_tepelhoren</t>
  </si>
  <si>
    <t>Glanzende_tepelhoren_l</t>
  </si>
  <si>
    <t>Groot_tafelmesheft_d</t>
  </si>
  <si>
    <t>Groot_tafelmesheft_v</t>
  </si>
  <si>
    <t>Grootoogrog_e</t>
  </si>
  <si>
    <t>Grote_strandschelp_d</t>
  </si>
  <si>
    <t>Grote_strandschelp_v</t>
  </si>
  <si>
    <t>Grote_zwaardschede_d</t>
  </si>
  <si>
    <t>Grote_zwaardschede_v</t>
  </si>
  <si>
    <t>Halfgeknotte_strandschelp_d</t>
  </si>
  <si>
    <t>Halfgeknotte_strandschelp_v</t>
  </si>
  <si>
    <t>Helmkrab_d</t>
  </si>
  <si>
    <t>Helmkrab_ei</t>
  </si>
  <si>
    <t>Helmkrab_l</t>
  </si>
  <si>
    <t>Helmkrab_v</t>
  </si>
  <si>
    <t>Hondshaai_e</t>
  </si>
  <si>
    <t>Japanse_oester_d</t>
  </si>
  <si>
    <t>Japanse_oester_v</t>
  </si>
  <si>
    <t>Klein_tafelmesheft_d</t>
  </si>
  <si>
    <t>Klein_tafelmesheft_v</t>
  </si>
  <si>
    <t>Kleine_heremietkreeft_d</t>
  </si>
  <si>
    <t>Kleine_heremietkreeft_ei</t>
  </si>
  <si>
    <t>Kleine_heremietkreeft_l</t>
  </si>
  <si>
    <t>Kleine_heremietkreeft_v</t>
  </si>
  <si>
    <t>Kleine_zwaardschede_d</t>
  </si>
  <si>
    <t>Kleine_zwaardschede_v</t>
  </si>
  <si>
    <t>Kleinoogrog_e</t>
  </si>
  <si>
    <t>Kokkel_d</t>
  </si>
  <si>
    <t>Kokkel_v</t>
  </si>
  <si>
    <t>laagwater</t>
  </si>
  <si>
    <t>Mossel_d</t>
  </si>
  <si>
    <t>Mossel_v</t>
  </si>
  <si>
    <t>Muiltje_l</t>
  </si>
  <si>
    <t>Nagelkrab_d</t>
  </si>
  <si>
    <t>Nagelkrab_ei</t>
  </si>
  <si>
    <t>Nagelkrab_l</t>
  </si>
  <si>
    <t>Nagelkrab_v</t>
  </si>
  <si>
    <t>Nonnetje_d</t>
  </si>
  <si>
    <t>Noordzeekrab_d</t>
  </si>
  <si>
    <t>Noordzeekrab_ei</t>
  </si>
  <si>
    <t>Noordzeekrab_l</t>
  </si>
  <si>
    <t>Noordzeekrab_v</t>
  </si>
  <si>
    <t>Otterschelp_d</t>
  </si>
  <si>
    <t>Otterschelp_v</t>
  </si>
  <si>
    <t>Penseelkrab_d</t>
  </si>
  <si>
    <t>Penseelkrab_ei</t>
  </si>
  <si>
    <t>Penseelkrab_l</t>
  </si>
  <si>
    <t>Penseelkrab_v</t>
  </si>
  <si>
    <t>Pijlinktvis</t>
  </si>
  <si>
    <t>Pijlinktvis_ei</t>
  </si>
  <si>
    <t>Pijlinktvis_v</t>
  </si>
  <si>
    <t>plaats2</t>
  </si>
  <si>
    <t>Platte_oester_d</t>
  </si>
  <si>
    <t>Platte_oester_v</t>
  </si>
  <si>
    <t>Platte_slijkgaper_d</t>
  </si>
  <si>
    <t>Platte_slijkgaper_v</t>
  </si>
  <si>
    <t>pstk1</t>
  </si>
  <si>
    <t>pstk2</t>
  </si>
  <si>
    <t>Purperslak_ei</t>
  </si>
  <si>
    <t>Purperslak_l</t>
  </si>
  <si>
    <t>Rechtsgestreepte_platschelp_d</t>
  </si>
  <si>
    <t>Rechtsgestreepte_platschelp_v</t>
  </si>
  <si>
    <t>Ruwe_alikruik</t>
  </si>
  <si>
    <t>Ruwe_alikruik_l</t>
  </si>
  <si>
    <t>Ruwe_boormossel_d</t>
  </si>
  <si>
    <t>Ruwe_boormossel_v</t>
  </si>
  <si>
    <t>Schaalhoren_l</t>
  </si>
  <si>
    <t>Schelpkokerworm_l</t>
  </si>
  <si>
    <t>Sierlijke_zeekat</t>
  </si>
  <si>
    <t>Sierlijke_zeekat_ei</t>
  </si>
  <si>
    <t>Sierlijke_zeekat_v</t>
  </si>
  <si>
    <t>Slangster_l</t>
  </si>
  <si>
    <t>Slangster_v</t>
  </si>
  <si>
    <t>Stekelrog_e</t>
  </si>
  <si>
    <t>Sterrog_e</t>
  </si>
  <si>
    <t>Stevige_strandschelp_d</t>
  </si>
  <si>
    <t>Stevige_strandschelp_v</t>
  </si>
  <si>
    <t>Stompe_alikruik</t>
  </si>
  <si>
    <t>Stompe_alikruik_l</t>
  </si>
  <si>
    <t>Strandgaper_d</t>
  </si>
  <si>
    <t>Strandgaper_v</t>
  </si>
  <si>
    <t>Strandkrab_d</t>
  </si>
  <si>
    <t>Strandkrab_ei</t>
  </si>
  <si>
    <t>Strandkrab_l</t>
  </si>
  <si>
    <t>Strandkrab_v</t>
  </si>
  <si>
    <t>Strandvlo</t>
  </si>
  <si>
    <t>Tapijtschelp_d</t>
  </si>
  <si>
    <t>Tapijtschelp_v</t>
  </si>
  <si>
    <t>Tere_platschelp_d</t>
  </si>
  <si>
    <t>Tere_platschelp_v</t>
  </si>
  <si>
    <t>trajnr</t>
  </si>
  <si>
    <t>Venusschelp_d</t>
  </si>
  <si>
    <t>Venusschelp_v</t>
  </si>
  <si>
    <t>wcode1</t>
  </si>
  <si>
    <t>wcode2</t>
  </si>
  <si>
    <t>Wenteltrap_l</t>
  </si>
  <si>
    <t>Witte_boormossel_d</t>
  </si>
  <si>
    <t>Witte_boormossel_v</t>
  </si>
  <si>
    <t>Witte_dunschaal_d</t>
  </si>
  <si>
    <t>Witte_dunschaal_v</t>
  </si>
  <si>
    <t>Wolhandkrab_d</t>
  </si>
  <si>
    <t>Wolhandkrab_ei</t>
  </si>
  <si>
    <t>Wolhandkrab_l</t>
  </si>
  <si>
    <t>Wolhandkrab_v</t>
  </si>
  <si>
    <t>wrnr_1</t>
  </si>
  <si>
    <t>wrnr2</t>
  </si>
  <si>
    <t>Wulk</t>
  </si>
  <si>
    <t>Wulk_ei</t>
  </si>
  <si>
    <t>Wulk_l</t>
  </si>
  <si>
    <t>Zaagje_d</t>
  </si>
  <si>
    <t>Zaagje_v</t>
  </si>
  <si>
    <t>Zandkokerworm_l</t>
  </si>
  <si>
    <t>Zeeappel_l</t>
  </si>
  <si>
    <t>Zeeappel_v</t>
  </si>
  <si>
    <t>Zeeboontje_l</t>
  </si>
  <si>
    <t>Zeeboontje_v</t>
  </si>
  <si>
    <t>Zeekat_ei</t>
  </si>
  <si>
    <t>Zeekat_v</t>
  </si>
  <si>
    <t>Zeeklit_l</t>
  </si>
  <si>
    <t>Zeeklit_v</t>
  </si>
  <si>
    <t>Zeester_l</t>
  </si>
  <si>
    <t>Zeester_v</t>
  </si>
  <si>
    <t>Iers_mos</t>
  </si>
  <si>
    <t>Japans_bessenwier</t>
  </si>
  <si>
    <t>Gezaagde_zee_eik</t>
  </si>
  <si>
    <t>Kleine_zee_eik</t>
  </si>
  <si>
    <t>Brede_kleine_zwaardschede_v</t>
  </si>
  <si>
    <t>Darmwier</t>
  </si>
  <si>
    <t>ebtijd</t>
  </si>
  <si>
    <t>Loop_traject</t>
  </si>
  <si>
    <t>minuten</t>
  </si>
  <si>
    <t>plaats1</t>
  </si>
  <si>
    <t>vloedtijd</t>
  </si>
  <si>
    <t>Zeesla</t>
  </si>
  <si>
    <t>Formuliertekst</t>
  </si>
  <si>
    <t>doublet</t>
  </si>
  <si>
    <t>vleesresten</t>
  </si>
  <si>
    <t>Bijschrijfsoort abundantie</t>
  </si>
  <si>
    <t>Bijschrijfsoort categorie</t>
  </si>
  <si>
    <t>Bijschrijfsoort Latijn</t>
  </si>
  <si>
    <t>Bijschrijfsoort Nederlands</t>
  </si>
  <si>
    <t>dood</t>
  </si>
  <si>
    <t>met eieren</t>
  </si>
  <si>
    <t>levend</t>
  </si>
  <si>
    <t>vervellingshuid</t>
  </si>
  <si>
    <t>strekdam</t>
  </si>
  <si>
    <t>met embryo</t>
  </si>
  <si>
    <t>aangespoeld</t>
  </si>
  <si>
    <t>eikapsel</t>
  </si>
  <si>
    <t>1e adres</t>
  </si>
  <si>
    <t>2e adres</t>
  </si>
  <si>
    <t>gelopen</t>
  </si>
  <si>
    <t>waarneemdatum</t>
  </si>
  <si>
    <t>tijd eblijn</t>
  </si>
  <si>
    <t>1e email adres</t>
  </si>
  <si>
    <t>2e email adres</t>
  </si>
  <si>
    <t>1e telefoon</t>
  </si>
  <si>
    <t>2e telefoon</t>
  </si>
  <si>
    <t>trajectnummer</t>
  </si>
  <si>
    <t>tijd vloedlijn</t>
  </si>
  <si>
    <t>1e waarnemerscode</t>
  </si>
  <si>
    <t>2e waarnemerscode</t>
  </si>
  <si>
    <t>1e waarnemer</t>
  </si>
  <si>
    <t>2e waarnemer</t>
  </si>
  <si>
    <t>1e postcode</t>
  </si>
  <si>
    <t>2e postcode</t>
  </si>
  <si>
    <t>1e woonplaats</t>
  </si>
  <si>
    <t>2e woonplaats</t>
  </si>
  <si>
    <t>AX</t>
  </si>
  <si>
    <t>Datum (dd-mm-jjjj):</t>
  </si>
  <si>
    <t>dag</t>
  </si>
  <si>
    <t>maand</t>
  </si>
  <si>
    <t>jaar</t>
  </si>
  <si>
    <t>Waarneemdag</t>
  </si>
  <si>
    <t>Waarneemmaand</t>
  </si>
  <si>
    <t>Waarneemjaar</t>
  </si>
  <si>
    <t>eindtijd</t>
  </si>
  <si>
    <t>Obelia longissima</t>
  </si>
  <si>
    <t xml:space="preserve">AX: </t>
  </si>
  <si>
    <t>Soort aanwezig, maar niet op aantal gelet</t>
  </si>
  <si>
    <t>Kijk voor aandachtsoorten:</t>
  </si>
  <si>
    <t>Grijze zeevinger</t>
  </si>
  <si>
    <t>Hydrallmania falcata</t>
  </si>
  <si>
    <t>Obelia geniculata</t>
  </si>
  <si>
    <t>Barnea parva</t>
  </si>
  <si>
    <t>Kleine boormossel</t>
  </si>
  <si>
    <t>Laevicardium crassum</t>
  </si>
  <si>
    <t>Noorse hartschelp</t>
  </si>
  <si>
    <t>Pisidia longicornis</t>
  </si>
  <si>
    <t>Bruine zeevinger</t>
  </si>
  <si>
    <t>Iers mos</t>
  </si>
  <si>
    <t>Japans bessenwier</t>
  </si>
  <si>
    <t>Witte dunschaal</t>
  </si>
  <si>
    <t>Witte boormossel</t>
  </si>
  <si>
    <t>Japanse oester</t>
  </si>
  <si>
    <t>Amerikaanse zwaardschede</t>
  </si>
  <si>
    <t>Grote zwaardschede</t>
  </si>
  <si>
    <t>Kleine zwaardschede</t>
  </si>
  <si>
    <t>Brede kleine zwaardschede</t>
  </si>
  <si>
    <t>Klein tafelmesheft</t>
  </si>
  <si>
    <t>Groot tafelmesheft</t>
  </si>
  <si>
    <t>Grote strandschelp</t>
  </si>
  <si>
    <t>Amerikaanse boormossel</t>
  </si>
  <si>
    <t>Platte slijkgaper</t>
  </si>
  <si>
    <t>Halfgeknotte strandschelp</t>
  </si>
  <si>
    <t>Stevige strandschelp</t>
  </si>
  <si>
    <t>Rechtsgestreepte platschelp</t>
  </si>
  <si>
    <t>Tere platschelp</t>
  </si>
  <si>
    <t>Ruwe boormossel</t>
  </si>
  <si>
    <t>Gewone zeepok</t>
  </si>
  <si>
    <t>Gew. zeepissebed</t>
  </si>
  <si>
    <t>Gewone garnaal</t>
  </si>
  <si>
    <t>Gewimperde zwemkrab</t>
  </si>
  <si>
    <t>Gewone zwemkrab</t>
  </si>
  <si>
    <t>Gemarmerde zwemkrab</t>
  </si>
  <si>
    <t>Fluwelen zwemkrab</t>
  </si>
  <si>
    <t>Kleine heremietkreeft</t>
  </si>
  <si>
    <t>Blonde rog</t>
  </si>
  <si>
    <t>Gevlekte rog</t>
  </si>
  <si>
    <t>Beroe gracilis</t>
  </si>
  <si>
    <t>Komkommerkwal</t>
  </si>
  <si>
    <t>Harig kantmosdiertje</t>
  </si>
  <si>
    <t>Gelopen afstand (km):</t>
  </si>
  <si>
    <t xml:space="preserve">Oranjerood plooimosd.  </t>
  </si>
  <si>
    <t>Dood (compleet)</t>
  </si>
  <si>
    <t>Via kornet</t>
  </si>
  <si>
    <t>Fragment, geen vle.</t>
  </si>
  <si>
    <t>Pagurus bernhardus</t>
  </si>
  <si>
    <t>Levend en dood</t>
  </si>
  <si>
    <t>Lev.  en dood</t>
  </si>
  <si>
    <t>Angulus fabula</t>
  </si>
  <si>
    <t>Angulus tenuis</t>
  </si>
  <si>
    <t xml:space="preserve">Austrominius modestus </t>
  </si>
  <si>
    <t xml:space="preserve">Perforatus perforatus </t>
  </si>
  <si>
    <t>Liocarcinus navigator</t>
  </si>
  <si>
    <t>Afgeknotte gaper</t>
  </si>
  <si>
    <t>Brakwaterzeepok</t>
  </si>
  <si>
    <t>Cancer pagurus</t>
  </si>
  <si>
    <t>Nieuw-Zeelandse zeepok</t>
  </si>
  <si>
    <t>Saccharina latissima</t>
  </si>
  <si>
    <t>Balanus crenatus</t>
  </si>
  <si>
    <t>Gekartelde zeepok</t>
  </si>
  <si>
    <t>Amphibalanus improvisus</t>
  </si>
  <si>
    <t>Verruca stroemia</t>
  </si>
  <si>
    <t>Ritspok</t>
  </si>
  <si>
    <t xml:space="preserve">Fijn kantmosdiertje  </t>
  </si>
  <si>
    <t>Breedbladigmosdiertje</t>
  </si>
  <si>
    <t>Fucus spiralis / guiryi</t>
  </si>
  <si>
    <t>Grote heremietkreeft</t>
  </si>
  <si>
    <t>Grote tepelhoren</t>
  </si>
  <si>
    <t>Zeepokken</t>
  </si>
  <si>
    <t>Overige kleine kreeftachtigen</t>
  </si>
  <si>
    <t>Glad porseleinkrabbetje</t>
  </si>
  <si>
    <t>Exemplaar of fragment</t>
  </si>
  <si>
    <t>Gebruik het LIMP-formulier voorwaarnemingen op (strek)dammen</t>
  </si>
  <si>
    <r>
      <t>Zeepier</t>
    </r>
    <r>
      <rPr>
        <i/>
        <sz val="10"/>
        <rFont val="Arial"/>
        <family val="2"/>
      </rPr>
      <t xml:space="preserve"> {onb.}</t>
    </r>
  </si>
  <si>
    <r>
      <t>Arenicola</t>
    </r>
    <r>
      <rPr>
        <sz val="10"/>
        <color indexed="8"/>
        <rFont val="Arial"/>
        <family val="2"/>
      </rPr>
      <t xml:space="preserve"> sp.</t>
    </r>
    <r>
      <rPr>
        <i/>
        <sz val="10"/>
        <color indexed="8"/>
        <rFont val="Arial"/>
        <family val="2"/>
      </rPr>
      <t xml:space="preserve"> </t>
    </r>
  </si>
  <si>
    <t>Platte oester</t>
  </si>
  <si>
    <r>
      <t xml:space="preserve">Strandvlo </t>
    </r>
    <r>
      <rPr>
        <i/>
        <sz val="10"/>
        <rFont val="Arial"/>
        <family val="2"/>
      </rPr>
      <t>{onb.}</t>
    </r>
  </si>
  <si>
    <r>
      <t xml:space="preserve">Talitridae </t>
    </r>
    <r>
      <rPr>
        <sz val="10"/>
        <rFont val="Arial"/>
        <family val="2"/>
      </rPr>
      <t>sp.</t>
    </r>
  </si>
  <si>
    <t>Kleine zeeappel</t>
  </si>
  <si>
    <r>
      <t xml:space="preserve">Darmwier </t>
    </r>
    <r>
      <rPr>
        <i/>
        <sz val="10"/>
        <rFont val="Arial"/>
        <family val="2"/>
      </rPr>
      <t>{onb.}</t>
    </r>
  </si>
  <si>
    <r>
      <t>Zeesla</t>
    </r>
    <r>
      <rPr>
        <i/>
        <sz val="10"/>
        <rFont val="Arial"/>
        <family val="2"/>
      </rPr>
      <t xml:space="preserve"> {onb.}</t>
    </r>
  </si>
  <si>
    <r>
      <t xml:space="preserve">Pijlinktvis </t>
    </r>
    <r>
      <rPr>
        <i/>
        <sz val="10"/>
        <rFont val="Arial"/>
        <family val="2"/>
      </rPr>
      <t>{onb.}</t>
    </r>
  </si>
  <si>
    <r>
      <t xml:space="preserve">Loligo </t>
    </r>
    <r>
      <rPr>
        <sz val="10"/>
        <rFont val="Arial"/>
        <family val="2"/>
      </rPr>
      <t>sp.</t>
    </r>
  </si>
  <si>
    <t>Gezaagde zee-eik</t>
  </si>
  <si>
    <t>Kleine zee-eik</t>
  </si>
  <si>
    <t>Gewone slangster</t>
  </si>
  <si>
    <t>Gewone slibanemoon</t>
  </si>
  <si>
    <t>Koker/Hoop</t>
  </si>
  <si>
    <r>
      <t xml:space="preserve">Gekromde zeeborstel </t>
    </r>
    <r>
      <rPr>
        <sz val="10"/>
        <color indexed="10"/>
        <rFont val="Arial"/>
        <family val="2"/>
      </rPr>
      <t>(k)</t>
    </r>
  </si>
  <si>
    <r>
      <t xml:space="preserve">Geknoopte zeedraad </t>
    </r>
    <r>
      <rPr>
        <sz val="10"/>
        <color indexed="10"/>
        <rFont val="Arial"/>
        <family val="2"/>
      </rPr>
      <t>(k)</t>
    </r>
  </si>
  <si>
    <r>
      <t xml:space="preserve">Lange zeedraad </t>
    </r>
    <r>
      <rPr>
        <sz val="10"/>
        <color indexed="10"/>
        <rFont val="Arial"/>
        <family val="2"/>
      </rPr>
      <t>(k)</t>
    </r>
  </si>
  <si>
    <r>
      <t xml:space="preserve">Gracilaria </t>
    </r>
    <r>
      <rPr>
        <sz val="10"/>
        <rFont val="Arial"/>
        <family val="2"/>
      </rPr>
      <t xml:space="preserve">sp. </t>
    </r>
  </si>
  <si>
    <r>
      <t xml:space="preserve">Ulva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 xml:space="preserve"> (Enteromorpha)</t>
    </r>
  </si>
  <si>
    <r>
      <t xml:space="preserve">Ulva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 xml:space="preserve"> (excl. Enteromorpha)</t>
    </r>
  </si>
  <si>
    <r>
      <t>Watersipora subtorquata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(k)</t>
    </r>
  </si>
  <si>
    <r>
      <t xml:space="preserve">Alcyonidium diaphanum  </t>
    </r>
    <r>
      <rPr>
        <sz val="10"/>
        <color indexed="10"/>
        <rFont val="Arial"/>
        <family val="2"/>
      </rPr>
      <t>(k)</t>
    </r>
  </si>
  <si>
    <r>
      <t xml:space="preserve">Alcyonidium condylocinereum  </t>
    </r>
    <r>
      <rPr>
        <sz val="10"/>
        <color indexed="10"/>
        <rFont val="Arial"/>
        <family val="2"/>
      </rPr>
      <t>(k)</t>
    </r>
  </si>
  <si>
    <r>
      <t>Geef het aantal waargenomen exemplaren per soort, per categorie (kolom) op in abundantieklassen. Leeg vakje=</t>
    </r>
    <r>
      <rPr>
        <b/>
        <sz val="10"/>
        <color indexed="18"/>
        <rFont val="Arial"/>
        <family val="2"/>
      </rPr>
      <t>wél</t>
    </r>
    <r>
      <rPr>
        <sz val="10"/>
        <color indexed="18"/>
        <rFont val="Arial"/>
        <family val="2"/>
      </rPr>
      <t xml:space="preserve"> op gelet, maar</t>
    </r>
    <r>
      <rPr>
        <b/>
        <sz val="10"/>
        <color indexed="18"/>
        <rFont val="Arial"/>
        <family val="2"/>
      </rPr>
      <t xml:space="preserve"> niet</t>
    </r>
    <r>
      <rPr>
        <sz val="10"/>
        <color indexed="18"/>
        <rFont val="Arial"/>
        <family val="2"/>
      </rPr>
      <t xml:space="preserve"> gevonden.</t>
    </r>
  </si>
  <si>
    <r>
      <t xml:space="preserve">Porphyra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>.</t>
    </r>
  </si>
  <si>
    <t>Ensis siliqua</t>
  </si>
  <si>
    <t>http://www.anemoon.org/Projecten/Strand-SMP-KOR/Aandachtsoorten</t>
  </si>
  <si>
    <t>http://www.anemoon.org/Projecten/Strand-SMP-KOR/Aanspoelsel-SMP</t>
  </si>
  <si>
    <t>Fluwelen zeemuis</t>
  </si>
  <si>
    <t>Aphrodita aculeata</t>
  </si>
  <si>
    <r>
      <t>Ruwe zeerasp</t>
    </r>
    <r>
      <rPr>
        <sz val="10"/>
        <color indexed="10"/>
        <rFont val="Arial"/>
        <family val="2"/>
      </rPr>
      <t xml:space="preserve"> (k, levend!)</t>
    </r>
  </si>
  <si>
    <t>Cyanea capillata</t>
  </si>
  <si>
    <t>Gele haarkwal</t>
  </si>
  <si>
    <r>
      <t xml:space="preserve">Aequorea </t>
    </r>
    <r>
      <rPr>
        <sz val="10"/>
        <rFont val="Arial"/>
        <family val="2"/>
      </rPr>
      <t>sp.</t>
    </r>
  </si>
  <si>
    <t>Pelagia noctiluca</t>
  </si>
  <si>
    <t>Lichtende kwal</t>
  </si>
  <si>
    <t>Aantal minuten gestart voor LW:</t>
  </si>
  <si>
    <t>Sarsia tubulosa</t>
  </si>
  <si>
    <t>Klepelklokje</t>
  </si>
  <si>
    <t>Bij twijfel: exemplaren altijd verzamelen voor expert of maak foto's (ook van details)</t>
  </si>
  <si>
    <r>
      <t xml:space="preserve">Lampekapje </t>
    </r>
    <r>
      <rPr>
        <i/>
        <sz val="10"/>
        <rFont val="Arial"/>
        <family val="2"/>
      </rPr>
      <t>{onb.}</t>
    </r>
  </si>
  <si>
    <t>Nassarius nitidus</t>
  </si>
  <si>
    <t>Grofgeribde fuikhoren</t>
  </si>
  <si>
    <r>
      <t xml:space="preserve">Gelet op alle invulvakjes </t>
    </r>
    <r>
      <rPr>
        <b/>
        <sz val="10"/>
        <rFont val="Arial"/>
        <family val="2"/>
      </rPr>
      <t>(Alle)</t>
    </r>
    <r>
      <rPr>
        <sz val="10"/>
        <rFont val="Arial"/>
        <family val="2"/>
      </rPr>
      <t xml:space="preserve"> óf alleen dik gekaderde vakjes </t>
    </r>
    <r>
      <rPr>
        <b/>
        <sz val="10"/>
        <rFont val="Arial"/>
        <family val="2"/>
      </rPr>
      <t>(Dik)</t>
    </r>
    <r>
      <rPr>
        <sz val="10"/>
        <rFont val="Arial"/>
        <family val="2"/>
      </rPr>
      <t xml:space="preserve">: </t>
    </r>
  </si>
  <si>
    <t>Nr:</t>
  </si>
  <si>
    <r>
      <t xml:space="preserve">W.code 1 </t>
    </r>
    <r>
      <rPr>
        <vertAlign val="superscript"/>
        <sz val="11"/>
        <rFont val="Arial"/>
        <family val="2"/>
      </rPr>
      <t>e</t>
    </r>
    <r>
      <rPr>
        <sz val="10"/>
        <rFont val="Arial"/>
        <family val="2"/>
      </rPr>
      <t xml:space="preserve"> waarnemer:</t>
    </r>
  </si>
  <si>
    <t>Littorina littorea</t>
  </si>
  <si>
    <t>Gewone alikruik</t>
  </si>
  <si>
    <t>Littorina saxatilis s.l.</t>
  </si>
  <si>
    <t>Ruwe alikruik</t>
  </si>
  <si>
    <t>Littorina obtusata</t>
  </si>
  <si>
    <t>Stompe alikruik</t>
  </si>
  <si>
    <t>Nucella lapillus</t>
  </si>
  <si>
    <t>Patella vulgata</t>
  </si>
  <si>
    <t>Rapana venosa</t>
  </si>
  <si>
    <t>Geaderde stekelhoren</t>
  </si>
  <si>
    <t>Dik</t>
  </si>
  <si>
    <t>dik/allen</t>
  </si>
  <si>
    <t>Aant_formulieren</t>
  </si>
  <si>
    <t>Bruine_zeevinger</t>
  </si>
  <si>
    <t>Geaderde_stekelhoren</t>
  </si>
  <si>
    <t>Geaderde_stekelhoren_ei</t>
  </si>
  <si>
    <t>Geaderde_stekelhoren_l</t>
  </si>
  <si>
    <t>Gedraaide_zeedraad_k</t>
  </si>
  <si>
    <t>Gekartelde_zeepok</t>
  </si>
  <si>
    <t>Geknoopte_zeedraad_k</t>
  </si>
  <si>
    <t>Gekromde_zeeborstel_k</t>
  </si>
  <si>
    <t>Gele_haarkwal</t>
  </si>
  <si>
    <t>Glad_porseleinkrabbetje</t>
  </si>
  <si>
    <t>Glad_porseleinkrabbetje_d</t>
  </si>
  <si>
    <t>Glad_porseleinkrabbetje_ei</t>
  </si>
  <si>
    <t>Glad_porseleinkrabbetje_l</t>
  </si>
  <si>
    <t>Glad_porseleinkrabbetje_v</t>
  </si>
  <si>
    <t>Gorgelpijppoliep_k</t>
  </si>
  <si>
    <t>Grofgeribde_fuikhoren</t>
  </si>
  <si>
    <t>Grofgeribde_fuikhoren_ei</t>
  </si>
  <si>
    <t>Grofgeribde_fuikhoren_l</t>
  </si>
  <si>
    <t>Harig_kantmosdiertje</t>
  </si>
  <si>
    <t>Kleine_boormossel</t>
  </si>
  <si>
    <t>Kleine_boormossel_d</t>
  </si>
  <si>
    <t>Kleine_boormossel_v</t>
  </si>
  <si>
    <t>Lampjekapje</t>
  </si>
  <si>
    <t>Licht_kwal</t>
  </si>
  <si>
    <t>Nonnetje_v</t>
  </si>
  <si>
    <t>Noorse_hartschelp</t>
  </si>
  <si>
    <t>Noorse_hartschelp_d</t>
  </si>
  <si>
    <t>Noorse_hartschelp_v</t>
  </si>
  <si>
    <t>Oranjerood_plooimosd</t>
  </si>
  <si>
    <t>Ruwe_zeerasp_k</t>
  </si>
  <si>
    <t>Zeecypres_k</t>
  </si>
  <si>
    <t>Fluwelen_zeemuis_v</t>
  </si>
  <si>
    <t>Glanzende_tepelhoren_ei</t>
  </si>
  <si>
    <t>Goudkammetje_v</t>
  </si>
  <si>
    <t>Zeedennetje_k</t>
  </si>
  <si>
    <t>Zeepier</t>
  </si>
  <si>
    <t>Zeepier_v</t>
  </si>
  <si>
    <t>aantal formulieren</t>
  </si>
  <si>
    <t>kolonie</t>
  </si>
  <si>
    <t xml:space="preserve">Gelet op alle invulvakjes (Alle) óf alleen dik gekaderde vakjes (Dik): </t>
  </si>
  <si>
    <t>Grote_tepelhoren</t>
  </si>
  <si>
    <t>Grote_tepelhoren_l</t>
  </si>
  <si>
    <t>Grote_tepelhoren_ei</t>
  </si>
  <si>
    <t>Bijschrijfsoort Drijvend op substraat</t>
  </si>
  <si>
    <t>Pennenschaft_k</t>
  </si>
  <si>
    <t>Lange_zeedraad_k</t>
  </si>
  <si>
    <t>Begintijd</t>
  </si>
  <si>
    <t>begintijd</t>
  </si>
  <si>
    <t>Aantal minuten gestart voor LW</t>
  </si>
  <si>
    <t>Eindtijd</t>
  </si>
  <si>
    <t>Trajectnaam</t>
  </si>
  <si>
    <t>Latijnse naam</t>
  </si>
  <si>
    <t>Nederlandse naam</t>
  </si>
  <si>
    <t>Toestand</t>
  </si>
  <si>
    <t>Aan</t>
  </si>
  <si>
    <t>_tel1</t>
  </si>
  <si>
    <t>_tel2</t>
  </si>
  <si>
    <t>Fijn_kantmosdiertje</t>
  </si>
  <si>
    <t>Tijdstip laagwater (uu:mm):</t>
  </si>
  <si>
    <t>Begintijd (uu:mm):</t>
  </si>
  <si>
    <t>Eindtijd (uu:mm):</t>
  </si>
  <si>
    <t>SMP-08</t>
  </si>
  <si>
    <t>SMP-11</t>
  </si>
  <si>
    <t>SMP-02</t>
  </si>
  <si>
    <t>SMP-07</t>
  </si>
  <si>
    <t>SMP-01</t>
  </si>
  <si>
    <t>SMP-06</t>
  </si>
  <si>
    <t>SMP-05</t>
  </si>
  <si>
    <t>SMP-04</t>
  </si>
  <si>
    <t>Traject:</t>
  </si>
  <si>
    <t>Bij_ab14</t>
  </si>
  <si>
    <t>Bij_ab15</t>
  </si>
  <si>
    <t>Bij_ab16</t>
  </si>
  <si>
    <t>Bij_ab17</t>
  </si>
  <si>
    <t>Bij_ab18</t>
  </si>
  <si>
    <t>Bij_ab19</t>
  </si>
  <si>
    <t>Bij_ab20</t>
  </si>
  <si>
    <t>Bij_ab21</t>
  </si>
  <si>
    <t>Bij_ab22</t>
  </si>
  <si>
    <t>Bij_ab23</t>
  </si>
  <si>
    <t>Bij_ab24</t>
  </si>
  <si>
    <t>Bij_ab25</t>
  </si>
  <si>
    <t>Bij_ab26</t>
  </si>
  <si>
    <t>Bij_ab27</t>
  </si>
  <si>
    <t>Bij_ab28</t>
  </si>
  <si>
    <t>Bij_ab29</t>
  </si>
  <si>
    <t>Bij_ab30</t>
  </si>
  <si>
    <t>Bij_cat14</t>
  </si>
  <si>
    <t>Bij_cat15</t>
  </si>
  <si>
    <t>Bij_cat16</t>
  </si>
  <si>
    <t>Bij_cat17</t>
  </si>
  <si>
    <t>Bij_cat18</t>
  </si>
  <si>
    <t>Bij_cat19</t>
  </si>
  <si>
    <t>Bij_cat20</t>
  </si>
  <si>
    <t>Bij_cat21</t>
  </si>
  <si>
    <t>Bij_cat22</t>
  </si>
  <si>
    <t>Bij_cat23</t>
  </si>
  <si>
    <t>Bij_cat24</t>
  </si>
  <si>
    <t>Bij_cat25</t>
  </si>
  <si>
    <t>Bij_cat26</t>
  </si>
  <si>
    <t>Bij_cat27</t>
  </si>
  <si>
    <t>Bij_cat28</t>
  </si>
  <si>
    <t>Bij_cat29</t>
  </si>
  <si>
    <t>Bij_cat30</t>
  </si>
  <si>
    <t>Aangesp./Kor/
Substraat</t>
  </si>
  <si>
    <t>Bij_lat14</t>
  </si>
  <si>
    <t>Bij_lat15</t>
  </si>
  <si>
    <t>Bij_lat16</t>
  </si>
  <si>
    <t>Bij_lat17</t>
  </si>
  <si>
    <t>Bij_lat18</t>
  </si>
  <si>
    <t>Bij_lat19</t>
  </si>
  <si>
    <t>Bij_lat20</t>
  </si>
  <si>
    <t>Bij_lat21</t>
  </si>
  <si>
    <t>Bij_lat22</t>
  </si>
  <si>
    <t>Bij_lat23</t>
  </si>
  <si>
    <t>Bij_lat24</t>
  </si>
  <si>
    <t>Bij_lat25</t>
  </si>
  <si>
    <t>Bij_lat26</t>
  </si>
  <si>
    <t>Bij_lat27</t>
  </si>
  <si>
    <t>Bij_lat28</t>
  </si>
  <si>
    <t>Bij_lat29</t>
  </si>
  <si>
    <t>Bij_lat30</t>
  </si>
  <si>
    <t>Bij_ned14</t>
  </si>
  <si>
    <t>Bij_ned15</t>
  </si>
  <si>
    <t>Bij_ned16</t>
  </si>
  <si>
    <t>Bij_ned17</t>
  </si>
  <si>
    <t>Bij_ned18</t>
  </si>
  <si>
    <t>Bij_ned19</t>
  </si>
  <si>
    <t>Bij_ned20</t>
  </si>
  <si>
    <t>Bij_ned21</t>
  </si>
  <si>
    <t>Bij_ned22</t>
  </si>
  <si>
    <t>Bij_ned23</t>
  </si>
  <si>
    <t>Bij_ned24</t>
  </si>
  <si>
    <t>Bij_ned25</t>
  </si>
  <si>
    <t>Bij_ned26</t>
  </si>
  <si>
    <t>Bij_ned27</t>
  </si>
  <si>
    <t>Bij_ned28</t>
  </si>
  <si>
    <t>Bij_ned29</t>
  </si>
  <si>
    <t>Bij_ned30</t>
  </si>
  <si>
    <t>Bij_sd14</t>
  </si>
  <si>
    <t>Bij_sd15</t>
  </si>
  <si>
    <t>Bij_sd16</t>
  </si>
  <si>
    <t>Bij_sd17</t>
  </si>
  <si>
    <t>Bij_sd18</t>
  </si>
  <si>
    <t>Bij_sd19</t>
  </si>
  <si>
    <t>Bij_sd20</t>
  </si>
  <si>
    <t>Bij_sd21</t>
  </si>
  <si>
    <t>Bij_sd22</t>
  </si>
  <si>
    <t>Bij_sd23</t>
  </si>
  <si>
    <t>Bij_sd24</t>
  </si>
  <si>
    <t>Bij_sd25</t>
  </si>
  <si>
    <t>Bij_sd26</t>
  </si>
  <si>
    <t>Bij_sd27</t>
  </si>
  <si>
    <t>Bij_sd28</t>
  </si>
  <si>
    <t>Bij_sd29</t>
  </si>
  <si>
    <t>Bij_sd30</t>
  </si>
  <si>
    <t>SrtcodeN</t>
  </si>
  <si>
    <t>Wetnaam</t>
  </si>
  <si>
    <t>Nednaam</t>
  </si>
  <si>
    <t>Zeedennetje</t>
  </si>
  <si>
    <t>Abra alba</t>
  </si>
  <si>
    <t>Abra nitida</t>
  </si>
  <si>
    <t>Glanzende dunschaal</t>
  </si>
  <si>
    <t>Abra prismatica</t>
  </si>
  <si>
    <t>Prismatische dunschaal</t>
  </si>
  <si>
    <t>Abra tenuis</t>
  </si>
  <si>
    <t>Tere dunschaal</t>
  </si>
  <si>
    <t>Acanthocardia aculeata</t>
  </si>
  <si>
    <t>Grote hartschelp</t>
  </si>
  <si>
    <t>Acanthocardia echinata</t>
  </si>
  <si>
    <t>Gedoornde hartschelp</t>
  </si>
  <si>
    <t>Acanthocardia paucicostata</t>
  </si>
  <si>
    <t>Tere hartschelp</t>
  </si>
  <si>
    <t>Acanthocardia tuberculata</t>
  </si>
  <si>
    <t>Geknobbelde hartschelp</t>
  </si>
  <si>
    <t>Acanthodoris pilosa</t>
  </si>
  <si>
    <t>Egelslak</t>
  </si>
  <si>
    <t>Acantholaimus</t>
  </si>
  <si>
    <t>Achelia echinata</t>
  </si>
  <si>
    <t>Stekelzeespin</t>
  </si>
  <si>
    <t>Achelia laevis</t>
  </si>
  <si>
    <t>Acinetospora</t>
  </si>
  <si>
    <t>Acipenser sturio</t>
  </si>
  <si>
    <t>Steur</t>
  </si>
  <si>
    <t>Acrocnida brachiata</t>
  </si>
  <si>
    <t>Acrosiphonia arcta</t>
  </si>
  <si>
    <t>Sponswier</t>
  </si>
  <si>
    <t>Acteon tornatilis</t>
  </si>
  <si>
    <t>Spoelhoren</t>
  </si>
  <si>
    <t>Actinia equina</t>
  </si>
  <si>
    <t>Rode paardenanemoon</t>
  </si>
  <si>
    <t>Actinia fragacea</t>
  </si>
  <si>
    <t>Aardbei paardenanemoon</t>
  </si>
  <si>
    <t>Actinia striata</t>
  </si>
  <si>
    <t>Zebra-anemoon</t>
  </si>
  <si>
    <t>Actinothoe</t>
  </si>
  <si>
    <t>Actinothoe anguicoma</t>
  </si>
  <si>
    <t>Actinothoe sphyrodeta</t>
  </si>
  <si>
    <t>Margrietje</t>
  </si>
  <si>
    <t>Aeolidia papillosa</t>
  </si>
  <si>
    <t>Grote vlokslak</t>
  </si>
  <si>
    <t>Aeolidiella alderi</t>
  </si>
  <si>
    <t>Gekraagde vlokslak</t>
  </si>
  <si>
    <t>Aeolidiella glauca</t>
  </si>
  <si>
    <t>Kleine vlokslak</t>
  </si>
  <si>
    <t>Aeolidiella sanguinea</t>
  </si>
  <si>
    <t>Aeolidiidae</t>
  </si>
  <si>
    <t>Aequipecten opercularis</t>
  </si>
  <si>
    <t>Wijde mantel</t>
  </si>
  <si>
    <t>Aequorea</t>
  </si>
  <si>
    <t>Aequorea forskalea</t>
  </si>
  <si>
    <t>Minderdradig lampenkapje</t>
  </si>
  <si>
    <t>Aequorea vitrina</t>
  </si>
  <si>
    <t>Lampenkapje</t>
  </si>
  <si>
    <t>Agardhiella subulata</t>
  </si>
  <si>
    <t>Stijf priemwier</t>
  </si>
  <si>
    <t>Agonus cataphractus</t>
  </si>
  <si>
    <t>Harnasmannetje</t>
  </si>
  <si>
    <t>Alaria esculenta</t>
  </si>
  <si>
    <t>Alcyonidioides mytili</t>
  </si>
  <si>
    <t>Alcyonidium</t>
  </si>
  <si>
    <t>zeevinger {onb.}</t>
  </si>
  <si>
    <t>Alcyonidium condylocinereum</t>
  </si>
  <si>
    <t>Alcyonidium diaphanum</t>
  </si>
  <si>
    <t>Alcyonidium gelatinosum</t>
  </si>
  <si>
    <t>Gladde zeevinger</t>
  </si>
  <si>
    <t>Alcyonidium mamillatum</t>
  </si>
  <si>
    <t>Alcyonidium polyoum</t>
  </si>
  <si>
    <t>Alcyonium</t>
  </si>
  <si>
    <t>Alcyonium digitatum</t>
  </si>
  <si>
    <t>Dodemansduim</t>
  </si>
  <si>
    <t>Alderia modesta</t>
  </si>
  <si>
    <t>Kwelderslak</t>
  </si>
  <si>
    <t>Aldisa zetlandica</t>
  </si>
  <si>
    <t>Alitta succinea</t>
  </si>
  <si>
    <t>Ambergele zeeduizendpoot</t>
  </si>
  <si>
    <t>Alitta virens</t>
  </si>
  <si>
    <t>Zager</t>
  </si>
  <si>
    <t>Alloteuthis subulata</t>
  </si>
  <si>
    <t>Dwerg-pijlinktvis</t>
  </si>
  <si>
    <t>Alopias vulpinus</t>
  </si>
  <si>
    <t>Voshaai</t>
  </si>
  <si>
    <t>Alosa alosa</t>
  </si>
  <si>
    <t>Elft</t>
  </si>
  <si>
    <t>Alosa fallax</t>
  </si>
  <si>
    <t>Fint</t>
  </si>
  <si>
    <t>Alpheus</t>
  </si>
  <si>
    <t>Altenaeum dawsoni</t>
  </si>
  <si>
    <t>Scheve bultschelp</t>
  </si>
  <si>
    <t>Alvania lactea</t>
  </si>
  <si>
    <t>Melkwit traliedrijfhorentje</t>
  </si>
  <si>
    <t>Ammodytes</t>
  </si>
  <si>
    <t>zandspiering {onb.}</t>
  </si>
  <si>
    <t>Ammodytes marinus</t>
  </si>
  <si>
    <t>Noorse zandspiering</t>
  </si>
  <si>
    <t>Ammodytes tobianus</t>
  </si>
  <si>
    <t>Zandspiering</t>
  </si>
  <si>
    <t>Ammothea hilgendorfi</t>
  </si>
  <si>
    <t>Zebrazeespin</t>
  </si>
  <si>
    <t>Amphibalanus amphitrite</t>
  </si>
  <si>
    <t>Amphipholis squamata</t>
  </si>
  <si>
    <t>Levendbarende slangster</t>
  </si>
  <si>
    <t>Amphitrite</t>
  </si>
  <si>
    <t>slijmkokerworm {onb.}</t>
  </si>
  <si>
    <t>Amphitritides gracilis</t>
  </si>
  <si>
    <t>Anarhichas lupus</t>
  </si>
  <si>
    <t>Zeewolf</t>
  </si>
  <si>
    <t>Ancula gibbosa</t>
  </si>
  <si>
    <t>Oranje plooislak</t>
  </si>
  <si>
    <t>Anemonia viridis</t>
  </si>
  <si>
    <t>Wasroos</t>
  </si>
  <si>
    <t>Anguilla anguilla</t>
  </si>
  <si>
    <t>Paling</t>
  </si>
  <si>
    <t>Anguinella palmata</t>
  </si>
  <si>
    <t>Slangmosdiertje</t>
  </si>
  <si>
    <t>Anomia ephippium</t>
  </si>
  <si>
    <t>Paardenzadel</t>
  </si>
  <si>
    <t>Anoplodactylus petiolatus</t>
  </si>
  <si>
    <t>Antalis entalis</t>
  </si>
  <si>
    <t>Gladde olifantstand</t>
  </si>
  <si>
    <t>Antithamnion</t>
  </si>
  <si>
    <t>Anurida maritima</t>
  </si>
  <si>
    <t>Blauwe zeespringstaart</t>
  </si>
  <si>
    <t>Aora gracilis</t>
  </si>
  <si>
    <t>Aphia minuta</t>
  </si>
  <si>
    <t>Glasgrondel</t>
  </si>
  <si>
    <t>Aplidium</t>
  </si>
  <si>
    <t>Aplidium glabrum</t>
  </si>
  <si>
    <t>Glanzende bolzakpijp</t>
  </si>
  <si>
    <t>Aplidium proliferum</t>
  </si>
  <si>
    <t>Apohyale prevostii</t>
  </si>
  <si>
    <t>Aporrhais pespelecani</t>
  </si>
  <si>
    <t>Pelikaansvoet</t>
  </si>
  <si>
    <t>Arcopagia crassa</t>
  </si>
  <si>
    <t>Stevige platschelp</t>
  </si>
  <si>
    <t>Arctica islandica</t>
  </si>
  <si>
    <t>Noordkromp</t>
  </si>
  <si>
    <t>Arenicola</t>
  </si>
  <si>
    <t>zeepier {onb.}</t>
  </si>
  <si>
    <t>Arenicola marina</t>
  </si>
  <si>
    <t>Argentina sphyraena</t>
  </si>
  <si>
    <t>Kleine zilversmelt</t>
  </si>
  <si>
    <t>Argiodia maculata</t>
  </si>
  <si>
    <t>Argyrosomus regius</t>
  </si>
  <si>
    <t>Ombervis</t>
  </si>
  <si>
    <t>Arnoglossus laterna</t>
  </si>
  <si>
    <t>Schurftvis</t>
  </si>
  <si>
    <t>Ascidia mentula</t>
  </si>
  <si>
    <t>Ascidia virginea</t>
  </si>
  <si>
    <t>Ascidiacea</t>
  </si>
  <si>
    <t>zakpijp {onb.}</t>
  </si>
  <si>
    <t>Ascidiella</t>
  </si>
  <si>
    <t>Ascidiella aspersa</t>
  </si>
  <si>
    <t>Ruwe zakpijp</t>
  </si>
  <si>
    <t>Ascidiella scabra</t>
  </si>
  <si>
    <t>Harige zakpijp</t>
  </si>
  <si>
    <t>Asparagopsis</t>
  </si>
  <si>
    <t>Asparagopsis armata</t>
  </si>
  <si>
    <t>Assiminea grayana</t>
  </si>
  <si>
    <t>Gray’s kustslakje</t>
  </si>
  <si>
    <t>Astacilla longicornis</t>
  </si>
  <si>
    <t>Astarte montagui</t>
  </si>
  <si>
    <t>Driehoekige astarte</t>
  </si>
  <si>
    <t>Astarte sulcata</t>
  </si>
  <si>
    <t>Breedgeribde astarte</t>
  </si>
  <si>
    <t>Gewone zeester</t>
  </si>
  <si>
    <t>Astropecten irregularis</t>
  </si>
  <si>
    <t>Kleine kamster</t>
  </si>
  <si>
    <t>Athanas nitescens</t>
  </si>
  <si>
    <t>Kreeftgarnaal</t>
  </si>
  <si>
    <t>Atherina boyeri</t>
  </si>
  <si>
    <t>Kleine koornaarvis</t>
  </si>
  <si>
    <t>Atherina presbyter</t>
  </si>
  <si>
    <t>Grote koornaarvis</t>
  </si>
  <si>
    <t>Auriculinella bidentata</t>
  </si>
  <si>
    <t>Wit muizenoortje</t>
  </si>
  <si>
    <t>Austrominius modestus</t>
  </si>
  <si>
    <t>Balaenoptera acutorostrata</t>
  </si>
  <si>
    <t>Dwergvinvis</t>
  </si>
  <si>
    <t>Balanus</t>
  </si>
  <si>
    <t>Balanus balanus</t>
  </si>
  <si>
    <t>Grote zeepok</t>
  </si>
  <si>
    <t>Balistes capriscus</t>
  </si>
  <si>
    <t>Trekkervis</t>
  </si>
  <si>
    <t>Bangia atropurpurea</t>
  </si>
  <si>
    <t>Bathyraja brachyurops</t>
  </si>
  <si>
    <t>Bela nebula</t>
  </si>
  <si>
    <t>Hoge trapgevel</t>
  </si>
  <si>
    <t>Belone belone</t>
  </si>
  <si>
    <t>Geep</t>
  </si>
  <si>
    <t>Beroe</t>
  </si>
  <si>
    <t>meloenkwalletje {onb.}</t>
  </si>
  <si>
    <t>Beroe cucumis</t>
  </si>
  <si>
    <t>Breed moeloenkwalletje</t>
  </si>
  <si>
    <t>Slank meloenkwalletje</t>
  </si>
  <si>
    <t>Bicellariella ciliata</t>
  </si>
  <si>
    <t>Haarmosdiertje</t>
  </si>
  <si>
    <t>Bispira volutacornis</t>
  </si>
  <si>
    <t>Bittium reticulatum</t>
  </si>
  <si>
    <t>Muizenkeutel</t>
  </si>
  <si>
    <t>Blidingia</t>
  </si>
  <si>
    <t>Blidingia marginata</t>
  </si>
  <si>
    <t>Blidingia minima</t>
  </si>
  <si>
    <t>Klein darmwier</t>
  </si>
  <si>
    <t>Bodotria</t>
  </si>
  <si>
    <t>Bolinopsis infundibulum</t>
  </si>
  <si>
    <t>Kortlob-ribkwal</t>
  </si>
  <si>
    <t>Bonellia viridis</t>
  </si>
  <si>
    <t>Groene bladkiewworm</t>
  </si>
  <si>
    <t>Boops boops</t>
  </si>
  <si>
    <t>Bokvis</t>
  </si>
  <si>
    <t>Bostrychia scorpioides</t>
  </si>
  <si>
    <t>Schorpioenwier</t>
  </si>
  <si>
    <t>Botrylloides</t>
  </si>
  <si>
    <t>slingerzakpijp {onb.}</t>
  </si>
  <si>
    <t>Botrylloides diegensis</t>
  </si>
  <si>
    <t>Botrylloides leachii</t>
  </si>
  <si>
    <t>Botrylloides simodensis</t>
  </si>
  <si>
    <t>Botrylloides violaceus</t>
  </si>
  <si>
    <t>Gewone slingerzakpijp</t>
  </si>
  <si>
    <t>Botryllus schlosseri</t>
  </si>
  <si>
    <t>Gesterde geleikorst</t>
  </si>
  <si>
    <t>Botrynema</t>
  </si>
  <si>
    <t>Bougainvillia muscus</t>
  </si>
  <si>
    <t>Bowerbankia</t>
  </si>
  <si>
    <t>Brama brama</t>
  </si>
  <si>
    <t>Braam</t>
  </si>
  <si>
    <t>Branchiostoma lanceolatum</t>
  </si>
  <si>
    <t>Brosme brosme</t>
  </si>
  <si>
    <t>Lom</t>
  </si>
  <si>
    <t>Bryopsis</t>
  </si>
  <si>
    <t>vederwier {onb.}</t>
  </si>
  <si>
    <t>Bryopsis hypnoides</t>
  </si>
  <si>
    <t>Onregelmatig vederwier</t>
  </si>
  <si>
    <t>Bryopsis plumosa</t>
  </si>
  <si>
    <t>Pluimvormig vederwier</t>
  </si>
  <si>
    <t>Buglossidium luteum</t>
  </si>
  <si>
    <t>Dwergtong</t>
  </si>
  <si>
    <t>Bugula</t>
  </si>
  <si>
    <t>Bugula avicularia</t>
  </si>
  <si>
    <t>Bugula flabellata</t>
  </si>
  <si>
    <t>Bugula plumosa</t>
  </si>
  <si>
    <t>Gepluimde hoorncelpoliep</t>
  </si>
  <si>
    <t>Bugula simplex</t>
  </si>
  <si>
    <t>Geel vogelkopmosdiertje</t>
  </si>
  <si>
    <t>Bugula turbinata</t>
  </si>
  <si>
    <t>Cadlina laevis</t>
  </si>
  <si>
    <t>Kaalslak</t>
  </si>
  <si>
    <t>Caecum glabrum</t>
  </si>
  <si>
    <t>Stompe buishoren</t>
  </si>
  <si>
    <t>Callinectes sapidus</t>
  </si>
  <si>
    <t>Blauwe zwemkrab</t>
  </si>
  <si>
    <t>Callionymus lyra</t>
  </si>
  <si>
    <t>Pitvis</t>
  </si>
  <si>
    <t>Callionymus maculatus</t>
  </si>
  <si>
    <t>Gevlekte pitvis</t>
  </si>
  <si>
    <t>Callionymus reticulatus</t>
  </si>
  <si>
    <t>Raster pitvis</t>
  </si>
  <si>
    <t>Calliostoma</t>
  </si>
  <si>
    <t>Calliostoma zizyphinum</t>
  </si>
  <si>
    <t>Priktolhoren</t>
  </si>
  <si>
    <t>Callithamnion</t>
  </si>
  <si>
    <t>Calycella syringa</t>
  </si>
  <si>
    <t>Kruipende klokpoliep</t>
  </si>
  <si>
    <t>Calyptraea chinensis</t>
  </si>
  <si>
    <t>Chinees hoedje</t>
  </si>
  <si>
    <t>Campanularia</t>
  </si>
  <si>
    <t>Campanulariidae</t>
  </si>
  <si>
    <t>Capitella capitata</t>
  </si>
  <si>
    <t>Slangpier</t>
  </si>
  <si>
    <t>Caprella</t>
  </si>
  <si>
    <t>spookkreeftje {onb.}</t>
  </si>
  <si>
    <t>Caprella equilibra</t>
  </si>
  <si>
    <t>Caprella linearis</t>
  </si>
  <si>
    <t>Wandelend geraamte</t>
  </si>
  <si>
    <t>Caprella mutica</t>
  </si>
  <si>
    <t>Harig spookkreeftje</t>
  </si>
  <si>
    <t>Caprellidae</t>
  </si>
  <si>
    <t>Capros aper</t>
  </si>
  <si>
    <t>Evervis</t>
  </si>
  <si>
    <t>Catenella caespitosa</t>
  </si>
  <si>
    <t>Korstmoswier</t>
  </si>
  <si>
    <t>Caulacanthus okamurae</t>
  </si>
  <si>
    <t>Puntig korstmoswier</t>
  </si>
  <si>
    <t>Cellaria</t>
  </si>
  <si>
    <t>Cellepora pumicosa</t>
  </si>
  <si>
    <t>Celtodoryx ciocalyptoides</t>
  </si>
  <si>
    <t>Gele wratspons</t>
  </si>
  <si>
    <t>Centrolophus niger</t>
  </si>
  <si>
    <t>Zwarte vis</t>
  </si>
  <si>
    <t>Ceramium</t>
  </si>
  <si>
    <t>hoorntjeswier {onb.}</t>
  </si>
  <si>
    <t>Ceramium deslongchampsii</t>
  </si>
  <si>
    <t>Hollands hoorntjeswier</t>
  </si>
  <si>
    <t>Ceramium virgatum</t>
  </si>
  <si>
    <t>Rood hoorntjeswier</t>
  </si>
  <si>
    <t>Cerastoderma</t>
  </si>
  <si>
    <t>Cerastoderma glaucum</t>
  </si>
  <si>
    <t>Brakwaterkokkel</t>
  </si>
  <si>
    <t>Cerianthus lloydii</t>
  </si>
  <si>
    <t>Viltkokeranemoon</t>
  </si>
  <si>
    <t>Cetorhinus maximus</t>
  </si>
  <si>
    <t>Reuzenhaai</t>
  </si>
  <si>
    <t>Chaetoderma nitidulum</t>
  </si>
  <si>
    <t>Glimmende schildvoet</t>
  </si>
  <si>
    <t>Chaetomorpha</t>
  </si>
  <si>
    <t>Chaetomorpha aerea</t>
  </si>
  <si>
    <t>Borstelwier</t>
  </si>
  <si>
    <t>Chaetomorpha linum</t>
  </si>
  <si>
    <t>Visdraad</t>
  </si>
  <si>
    <t>Chalinula loosanoffi</t>
  </si>
  <si>
    <t>Chelidonichthys</t>
  </si>
  <si>
    <t>poon {onb.}</t>
  </si>
  <si>
    <t>Chelidonichthys cuculus</t>
  </si>
  <si>
    <t>Engelse poon</t>
  </si>
  <si>
    <t>Chelidonichthys lucerna</t>
  </si>
  <si>
    <t>Rode poon</t>
  </si>
  <si>
    <t>Chelon labrosus</t>
  </si>
  <si>
    <t>Diklipharder</t>
  </si>
  <si>
    <t>Chlorella marina</t>
  </si>
  <si>
    <t>Chondria</t>
  </si>
  <si>
    <t>Chondria coerulescens</t>
  </si>
  <si>
    <t>Iriserend kraakbeenwier</t>
  </si>
  <si>
    <t>Chorda filum</t>
  </si>
  <si>
    <t>Veterwier</t>
  </si>
  <si>
    <t>Chrysallida pellucida</t>
  </si>
  <si>
    <t>Kleine traliehoren</t>
  </si>
  <si>
    <t>Chrysallida sarsi</t>
  </si>
  <si>
    <t>Stomp traliehorentje</t>
  </si>
  <si>
    <t>Ciliata mustela</t>
  </si>
  <si>
    <t>Vijfdradige meun</t>
  </si>
  <si>
    <t>Ciliata septentrionalis</t>
  </si>
  <si>
    <t>Noorse meun</t>
  </si>
  <si>
    <t>Cinusa</t>
  </si>
  <si>
    <t>Ciona intestinalis</t>
  </si>
  <si>
    <t>Doorschijnende zakpijp</t>
  </si>
  <si>
    <t>Cirratulus cirratus</t>
  </si>
  <si>
    <t>Cirripedia</t>
  </si>
  <si>
    <t>zeepok {onb.}</t>
  </si>
  <si>
    <t>Cladophora</t>
  </si>
  <si>
    <t>Cladophora albida</t>
  </si>
  <si>
    <t>Cladophora rupestris</t>
  </si>
  <si>
    <t>Rotswier</t>
  </si>
  <si>
    <t>Cladostephus spongiosus</t>
  </si>
  <si>
    <t>Clathria</t>
  </si>
  <si>
    <t>Clathrina coriacea</t>
  </si>
  <si>
    <t>Netwerkspons</t>
  </si>
  <si>
    <t>Clausinella fasciata</t>
  </si>
  <si>
    <t>Breedgeribde venusschelp</t>
  </si>
  <si>
    <t>Clava multicornis</t>
  </si>
  <si>
    <t>Gewone knotspoliep</t>
  </si>
  <si>
    <t>Clavelina lepadiformis</t>
  </si>
  <si>
    <t>Cliona celata</t>
  </si>
  <si>
    <t>Boorspons</t>
  </si>
  <si>
    <t>Clupea harengus</t>
  </si>
  <si>
    <t>Haring</t>
  </si>
  <si>
    <t>Clytia</t>
  </si>
  <si>
    <t>Clytia hemisphaerica</t>
  </si>
  <si>
    <t>Kleine klokpoliep</t>
  </si>
  <si>
    <t>Cochlodesma praetenue</t>
  </si>
  <si>
    <t>Lepelschelp</t>
  </si>
  <si>
    <t>Collembola</t>
  </si>
  <si>
    <t>springstaart {onb.}</t>
  </si>
  <si>
    <t>Colpomenia peregrina</t>
  </si>
  <si>
    <t>Oesterdief</t>
  </si>
  <si>
    <t>Colus gracilis</t>
  </si>
  <si>
    <t>Slanke noordhoren</t>
  </si>
  <si>
    <t>Colus islandicus</t>
  </si>
  <si>
    <t>IJslandse slanke noordhoren</t>
  </si>
  <si>
    <t>Colus jeffreysianus</t>
  </si>
  <si>
    <t>Gezwollen slanke noordhoren</t>
  </si>
  <si>
    <t>Conger conger</t>
  </si>
  <si>
    <t>Zeepaling</t>
  </si>
  <si>
    <t>Conopeum</t>
  </si>
  <si>
    <t>Conopeum reticulum</t>
  </si>
  <si>
    <t>Corallina officinalis</t>
  </si>
  <si>
    <t>Koraalwier</t>
  </si>
  <si>
    <t>Corambe obscura</t>
  </si>
  <si>
    <t>Zuiderzee-schijfslak</t>
  </si>
  <si>
    <t>Corbula gibba</t>
  </si>
  <si>
    <t>Korfschelp</t>
  </si>
  <si>
    <t>Cordylophora caspia</t>
  </si>
  <si>
    <t>Brakwaterpoliep</t>
  </si>
  <si>
    <t>Coregonus lavaretus</t>
  </si>
  <si>
    <t>Grote marene</t>
  </si>
  <si>
    <t>Coregonus oxyrinchus</t>
  </si>
  <si>
    <t>Houting</t>
  </si>
  <si>
    <t>Corella eumyota</t>
  </si>
  <si>
    <t>Chileense zakpijp</t>
  </si>
  <si>
    <t>Corophium</t>
  </si>
  <si>
    <t>Corophium volutator</t>
  </si>
  <si>
    <t>Corynactis viridis</t>
  </si>
  <si>
    <t>Juweelanemoon</t>
  </si>
  <si>
    <t>Coryne</t>
  </si>
  <si>
    <t>Cradoscrupocellaria reptans</t>
  </si>
  <si>
    <t>Crassostrea angulata</t>
  </si>
  <si>
    <t>Portugese oester</t>
  </si>
  <si>
    <t>Cratena lineata</t>
  </si>
  <si>
    <t>Crepidula</t>
  </si>
  <si>
    <t>Crisia eburnea</t>
  </si>
  <si>
    <t>Ivoormosdiertje</t>
  </si>
  <si>
    <t>Cryptosula pallasiana</t>
  </si>
  <si>
    <t>Cryptosula pallsiana</t>
  </si>
  <si>
    <t>Crystallogobius linearis</t>
  </si>
  <si>
    <t>Kristalgrondel</t>
  </si>
  <si>
    <t>Ctenolabrus rupestris</t>
  </si>
  <si>
    <t>Kliplipvis</t>
  </si>
  <si>
    <t>Cumanotus beaumonti</t>
  </si>
  <si>
    <t>Goudstipje</t>
  </si>
  <si>
    <t>Cuthona</t>
  </si>
  <si>
    <t>Cuthona amoena</t>
  </si>
  <si>
    <t>Gestippelde knotsslak</t>
  </si>
  <si>
    <t>Cuthona caerulea</t>
  </si>
  <si>
    <t>Hemelsblauwe knotsslak</t>
  </si>
  <si>
    <t>Cuthona concinna</t>
  </si>
  <si>
    <t>Zilverblauwe knotsslak</t>
  </si>
  <si>
    <t>Cuthona foliata</t>
  </si>
  <si>
    <t>Gestreepte knotsslak</t>
  </si>
  <si>
    <t>Cuthona gymnota</t>
  </si>
  <si>
    <t>Gorgelpijp-knotsslak</t>
  </si>
  <si>
    <t>Cuthona nana</t>
  </si>
  <si>
    <t>Zeerasp-knotsslak</t>
  </si>
  <si>
    <t>Cuthona rubescens</t>
  </si>
  <si>
    <t>Karmozijnrode knotsslak</t>
  </si>
  <si>
    <t>Cutleria multifida</t>
  </si>
  <si>
    <t>Cyanea</t>
  </si>
  <si>
    <t>Cyclopterus lumpus</t>
  </si>
  <si>
    <t>Snotolf</t>
  </si>
  <si>
    <t>Cylichna cylindracea</t>
  </si>
  <si>
    <t>Valse oubliehoren</t>
  </si>
  <si>
    <t>Cystoclonium purpureum</t>
  </si>
  <si>
    <t>Rood klauwwier</t>
  </si>
  <si>
    <t>Cystophora cristata</t>
  </si>
  <si>
    <t>Klapmuts</t>
  </si>
  <si>
    <t>Cystoseira baccata</t>
  </si>
  <si>
    <t>Vezelwier</t>
  </si>
  <si>
    <t>Dalatias licha</t>
  </si>
  <si>
    <t>Zwarte haai</t>
  </si>
  <si>
    <t>Dasya baillouviana</t>
  </si>
  <si>
    <t>Dasya pedicellata</t>
  </si>
  <si>
    <t>Dasya sessilis</t>
  </si>
  <si>
    <t>Gedrongen zeehoornblad</t>
  </si>
  <si>
    <t>Dasyatis pastinaca</t>
  </si>
  <si>
    <t>Pijlstaartrog</t>
  </si>
  <si>
    <t>Dasysiphonia</t>
  </si>
  <si>
    <t>Delphinus delphis</t>
  </si>
  <si>
    <t>Gewone dolfijn</t>
  </si>
  <si>
    <t>Dendrodoa grossularia</t>
  </si>
  <si>
    <t>Zeebes</t>
  </si>
  <si>
    <t>Dendronotus frondosus</t>
  </si>
  <si>
    <t>Boompjesslak</t>
  </si>
  <si>
    <t>Desmarestia viridis</t>
  </si>
  <si>
    <t>Devonia perrieri</t>
  </si>
  <si>
    <t>Zeekomkommerschelp</t>
  </si>
  <si>
    <t>Diadumene</t>
  </si>
  <si>
    <t>Diadumene cincta</t>
  </si>
  <si>
    <t>Golfbrekeranemoon</t>
  </si>
  <si>
    <t>Diadumene lineata</t>
  </si>
  <si>
    <t>Groene golfbrekeranemoon</t>
  </si>
  <si>
    <t>Diaphana minuta</t>
  </si>
  <si>
    <t>Glashoren</t>
  </si>
  <si>
    <t>Diastylis rathkei</t>
  </si>
  <si>
    <t>Dicentrarchus labrax</t>
  </si>
  <si>
    <t>Zeebaars</t>
  </si>
  <si>
    <t>Didemnum</t>
  </si>
  <si>
    <t>Didemnum vexillum</t>
  </si>
  <si>
    <t>Druipzakpijp</t>
  </si>
  <si>
    <t>Diplecogaster bimaculata</t>
  </si>
  <si>
    <t>Zuignapvis</t>
  </si>
  <si>
    <t>Diplodonta rotundata</t>
  </si>
  <si>
    <t>Ronde komschelp</t>
  </si>
  <si>
    <t>Diplosoma</t>
  </si>
  <si>
    <t>Diplosoma listerianum</t>
  </si>
  <si>
    <t>Grijze korstzakpijp</t>
  </si>
  <si>
    <t>Dipturus batis</t>
  </si>
  <si>
    <t>Vleet</t>
  </si>
  <si>
    <t>Disporella hispida</t>
  </si>
  <si>
    <t>Doridicola agilis</t>
  </si>
  <si>
    <t>Doris</t>
  </si>
  <si>
    <t>Doris pseudoargus</t>
  </si>
  <si>
    <t>Citroenslak</t>
  </si>
  <si>
    <t>Dosinia exoleta</t>
  </si>
  <si>
    <t>Artemisschelp</t>
  </si>
  <si>
    <t>Dosinia lupinus</t>
  </si>
  <si>
    <t>Dichtgestreepte artemisschelp</t>
  </si>
  <si>
    <t>Dotilla</t>
  </si>
  <si>
    <t>Doto coronata</t>
  </si>
  <si>
    <t>Roodgevlekte kroonslak</t>
  </si>
  <si>
    <t>Doto dunnei</t>
  </si>
  <si>
    <t>Doto fragilis</t>
  </si>
  <si>
    <t>Trage kroonslak</t>
  </si>
  <si>
    <t>Doto hydrallmaniae</t>
  </si>
  <si>
    <t>Zeeborstel-kroonslak</t>
  </si>
  <si>
    <t>Doto koenneckeri</t>
  </si>
  <si>
    <t>Kommavlekkroonslak</t>
  </si>
  <si>
    <t>Doto maculata</t>
  </si>
  <si>
    <t>Kleine kroonslak</t>
  </si>
  <si>
    <t>Doto millbayana</t>
  </si>
  <si>
    <t>Doto cf. millbayana</t>
  </si>
  <si>
    <t>Doto sarsiae</t>
  </si>
  <si>
    <t>Rode kroonslak</t>
  </si>
  <si>
    <t>Dumontia contorta</t>
  </si>
  <si>
    <t>Rood darmwier</t>
  </si>
  <si>
    <t>Dynamena pumila</t>
  </si>
  <si>
    <t>Klein tandhoornkoraal</t>
  </si>
  <si>
    <t>Dyopedos monacantha</t>
  </si>
  <si>
    <t>Ebalia tuberosa</t>
  </si>
  <si>
    <t>Ruwe kiezelkrab</t>
  </si>
  <si>
    <t>Ebalia tumefacta</t>
  </si>
  <si>
    <t>Gladde kiezelkrab</t>
  </si>
  <si>
    <t>Echiichthys vipera</t>
  </si>
  <si>
    <t>Kleine pieterman</t>
  </si>
  <si>
    <t>Echinus esculentus</t>
  </si>
  <si>
    <t>Eetbare zeeappel</t>
  </si>
  <si>
    <t>Echiodon drummondii</t>
  </si>
  <si>
    <t>Parelvis</t>
  </si>
  <si>
    <t>Echiurus echiurus</t>
  </si>
  <si>
    <t>Zandworm</t>
  </si>
  <si>
    <t>Ecrobia ventrosa</t>
  </si>
  <si>
    <t>Opgezwollen brakwaterhorentje</t>
  </si>
  <si>
    <t>Ectocarpus</t>
  </si>
  <si>
    <t>Ectopleura</t>
  </si>
  <si>
    <t>Gorgelpijppoliep</t>
  </si>
  <si>
    <t>Einhornia crustulenta</t>
  </si>
  <si>
    <t>Elachista</t>
  </si>
  <si>
    <t>Elachista fucicola</t>
  </si>
  <si>
    <t>Dwergwier</t>
  </si>
  <si>
    <t>Electra</t>
  </si>
  <si>
    <t>Electra pilosa</t>
  </si>
  <si>
    <t>Eledone cirrhosa</t>
  </si>
  <si>
    <t>Kleine achtarm</t>
  </si>
  <si>
    <t>Elysia viridis</t>
  </si>
  <si>
    <t>Groene wierslak</t>
  </si>
  <si>
    <t>Emplectonema gracile</t>
  </si>
  <si>
    <t>Grijze snoerworm</t>
  </si>
  <si>
    <t>Emplectonema neesii</t>
  </si>
  <si>
    <t>Bruine snoerworm</t>
  </si>
  <si>
    <t>Enchelyopus cimbrius</t>
  </si>
  <si>
    <t>Vierdradige meun</t>
  </si>
  <si>
    <t>Engraulis encrasicolus</t>
  </si>
  <si>
    <t>Ansjovis</t>
  </si>
  <si>
    <t>Ennucula tenuis</t>
  </si>
  <si>
    <t>Dunne parelmoerneut</t>
  </si>
  <si>
    <t>Ensis</t>
  </si>
  <si>
    <t>Ensis ensis</t>
  </si>
  <si>
    <t>Slanke kleine zwaardschede</t>
  </si>
  <si>
    <t>Ensis ensis phaxoides</t>
  </si>
  <si>
    <t>Entelurus aequoreus</t>
  </si>
  <si>
    <t>Adderzeenaald</t>
  </si>
  <si>
    <t>Epitonium</t>
  </si>
  <si>
    <t>wenteltrap {onb.}</t>
  </si>
  <si>
    <t>Epitonium clathratulum</t>
  </si>
  <si>
    <t>Witte wenteltrap</t>
  </si>
  <si>
    <t>Wenteltrapje</t>
  </si>
  <si>
    <t>Epitonium turtonis</t>
  </si>
  <si>
    <t>Turton’s wenteltrap</t>
  </si>
  <si>
    <t>Epizoanthus</t>
  </si>
  <si>
    <t>Chinese wolhandkrab</t>
  </si>
  <si>
    <t>Eteone</t>
  </si>
  <si>
    <t>Eualus cranchii</t>
  </si>
  <si>
    <t>Waaiersprietgarnaal</t>
  </si>
  <si>
    <t>Eubranchus</t>
  </si>
  <si>
    <t>knuppelslak {onb}.</t>
  </si>
  <si>
    <t>Eubranchus doriae</t>
  </si>
  <si>
    <t>Eubranchus exiguus</t>
  </si>
  <si>
    <t>Plompe knuppelslak</t>
  </si>
  <si>
    <t>Eubranchus farrani</t>
  </si>
  <si>
    <t>Eubranchus pallidus</t>
  </si>
  <si>
    <t>Bleke knuppelslak</t>
  </si>
  <si>
    <t>Eubranchus rupium</t>
  </si>
  <si>
    <t>Noordelijke knuppelslak</t>
  </si>
  <si>
    <t>Eubranchus tricolor</t>
  </si>
  <si>
    <t>Driekleurige knuppelslak</t>
  </si>
  <si>
    <t>Eubranchus vittatus</t>
  </si>
  <si>
    <t>xxxKnuppelslak</t>
  </si>
  <si>
    <t>Eucheilota</t>
  </si>
  <si>
    <t>Eucheilota maculata</t>
  </si>
  <si>
    <t>Eudendrium</t>
  </si>
  <si>
    <t>Haarpijpje of Zeeboompje</t>
  </si>
  <si>
    <t>Eudendrium arbuscula</t>
  </si>
  <si>
    <t>Boompjeshydroïd</t>
  </si>
  <si>
    <t>Eudendrium armstongi</t>
  </si>
  <si>
    <t>Eulalia viridis</t>
  </si>
  <si>
    <t>Groene bladkieuwworm</t>
  </si>
  <si>
    <t>Eunereis longissima</t>
  </si>
  <si>
    <t>Eurydice pulchra</t>
  </si>
  <si>
    <t>Agaatpissebed</t>
  </si>
  <si>
    <t>Euspira nitida</t>
  </si>
  <si>
    <t>Eutonina indicans</t>
  </si>
  <si>
    <t>Eutrigla gurnardus</t>
  </si>
  <si>
    <t>Grauwe poon</t>
  </si>
  <si>
    <t>Facelina</t>
  </si>
  <si>
    <t>Facelina auriculata</t>
  </si>
  <si>
    <t>Gekroonde ringsprietslak</t>
  </si>
  <si>
    <t>Facelina bostoniensis</t>
  </si>
  <si>
    <t>Brede ringsprietslak</t>
  </si>
  <si>
    <t>Farrella repens</t>
  </si>
  <si>
    <t>Ficopomatus enigmaticus</t>
  </si>
  <si>
    <t>Trompetkalkkokerworm</t>
  </si>
  <si>
    <t>Filitonchus</t>
  </si>
  <si>
    <t>Filograna implexa</t>
  </si>
  <si>
    <t>Flabelligera affinis</t>
  </si>
  <si>
    <t>Snotworm</t>
  </si>
  <si>
    <t>Flabellina browni</t>
  </si>
  <si>
    <t>Flabellina gracilis</t>
  </si>
  <si>
    <t>Slanke waaierslak</t>
  </si>
  <si>
    <t>Flabellina lineata</t>
  </si>
  <si>
    <t>Witgestreepte waaierslak</t>
  </si>
  <si>
    <t>Flabellina pedata</t>
  </si>
  <si>
    <t>Paarse waaierslak</t>
  </si>
  <si>
    <t>Flustra foliacea</t>
  </si>
  <si>
    <t>Breedbladig mosdiertje</t>
  </si>
  <si>
    <t>Flustrellidra hispida</t>
  </si>
  <si>
    <t>Fratercula</t>
  </si>
  <si>
    <t>Fucus</t>
  </si>
  <si>
    <t>Fucus spiralis</t>
  </si>
  <si>
    <t>Gadus morhua</t>
  </si>
  <si>
    <t>Kabeljauw</t>
  </si>
  <si>
    <t>Gaidropsarus vulgaris</t>
  </si>
  <si>
    <t>Driedradige meun</t>
  </si>
  <si>
    <t>Galathea</t>
  </si>
  <si>
    <t>Galathea intermedia</t>
  </si>
  <si>
    <t>Fijngetande oprolkreeft</t>
  </si>
  <si>
    <t>Galathea squamifera</t>
  </si>
  <si>
    <t>Zwarte oprolkreeft</t>
  </si>
  <si>
    <t>Galathea strigosa</t>
  </si>
  <si>
    <t>Blauwgestreepte oprolkreeft</t>
  </si>
  <si>
    <t>Galeorhinus galeus</t>
  </si>
  <si>
    <t>Ruwe haai</t>
  </si>
  <si>
    <t>Gammarus</t>
  </si>
  <si>
    <t>vlokreeft {onb.}</t>
  </si>
  <si>
    <t>Gari fervensis</t>
  </si>
  <si>
    <t>Geplooide zonneschelp</t>
  </si>
  <si>
    <t>Gasterosteus aculeatus aculeatus</t>
  </si>
  <si>
    <t>Driedoornige stekelbaars</t>
  </si>
  <si>
    <t>Gastroclonium ovatum</t>
  </si>
  <si>
    <t>Gastrosaccus spinifer</t>
  </si>
  <si>
    <t>Gayralia oxysperma</t>
  </si>
  <si>
    <t>Geitodoris planata</t>
  </si>
  <si>
    <t>Millennium-wratslak</t>
  </si>
  <si>
    <t>Gelidium pusillum</t>
  </si>
  <si>
    <t>Gelidium vagum</t>
  </si>
  <si>
    <t>Vlak geleiwier</t>
  </si>
  <si>
    <t>Geodia barretti</t>
  </si>
  <si>
    <t>Gibbula cineraria</t>
  </si>
  <si>
    <t>Asgrauwe tolhoren</t>
  </si>
  <si>
    <t>Gibbula pennanti</t>
  </si>
  <si>
    <t>Gevlamde tolhoren</t>
  </si>
  <si>
    <t>Gibbula tumida</t>
  </si>
  <si>
    <t>Gezwollen tolhoren</t>
  </si>
  <si>
    <t>Gibbula umbilicalis</t>
  </si>
  <si>
    <t>Genavelde tolhoren</t>
  </si>
  <si>
    <t>Glycymeris glycymeris</t>
  </si>
  <si>
    <t>Marmerschelp</t>
  </si>
  <si>
    <t>Glyptocephalus cynoglossus</t>
  </si>
  <si>
    <t>Witje</t>
  </si>
  <si>
    <t>Gobius</t>
  </si>
  <si>
    <t>Gobius niger</t>
  </si>
  <si>
    <t>Zwarte grondel</t>
  </si>
  <si>
    <t>Gobius paganellus</t>
  </si>
  <si>
    <t>Paganel-grondel</t>
  </si>
  <si>
    <t>Gobiusculus flavescens</t>
  </si>
  <si>
    <t>Staartvlekgrondel</t>
  </si>
  <si>
    <t>Gonatus steenstrupi</t>
  </si>
  <si>
    <t>Goniodoris castanea</t>
  </si>
  <si>
    <t>Bruine plooislak</t>
  </si>
  <si>
    <t>Goniodoris nodosa</t>
  </si>
  <si>
    <t>Bleke plooislak</t>
  </si>
  <si>
    <t>Gonionemus vertens</t>
  </si>
  <si>
    <t>Kruiskwal</t>
  </si>
  <si>
    <t>Goodallia triangularis</t>
  </si>
  <si>
    <t>Kleine astarte</t>
  </si>
  <si>
    <t>Gracilaria</t>
  </si>
  <si>
    <t>knoopwier {onb.}</t>
  </si>
  <si>
    <t>Gracilaria gracilis</t>
  </si>
  <si>
    <t>Gracilaria vermiculophylla</t>
  </si>
  <si>
    <t>Gracilariopsis longissima</t>
  </si>
  <si>
    <t>Grateloupia turuturu</t>
  </si>
  <si>
    <t>Slijmerige drakentong</t>
  </si>
  <si>
    <t>Griffithsia corallinoides</t>
  </si>
  <si>
    <t>Griffithsia devoniensis</t>
  </si>
  <si>
    <t>Vorkjeswier</t>
  </si>
  <si>
    <t>Halecium halecinum</t>
  </si>
  <si>
    <t>Haringgraat</t>
  </si>
  <si>
    <t>Halichoerus grypus</t>
  </si>
  <si>
    <t>Grijze zeehond</t>
  </si>
  <si>
    <t>Halichondria bowerbanki</t>
  </si>
  <si>
    <t>Sliertige broodspons</t>
  </si>
  <si>
    <t>Halichondria panicea</t>
  </si>
  <si>
    <t>Gewone broodspons</t>
  </si>
  <si>
    <t>Haliclona oculata</t>
  </si>
  <si>
    <t>Geweispons</t>
  </si>
  <si>
    <t>Haliclona rosea</t>
  </si>
  <si>
    <t>Roze kussenspons</t>
  </si>
  <si>
    <t>Haliclona urceolus</t>
  </si>
  <si>
    <t>Noordelijke urnspons</t>
  </si>
  <si>
    <t>Haliclona xena</t>
  </si>
  <si>
    <t>Paarse buisjesspons</t>
  </si>
  <si>
    <t>Haliclystus auricula</t>
  </si>
  <si>
    <t>Gesteelde kwal</t>
  </si>
  <si>
    <t>Halisarca dujardinii</t>
  </si>
  <si>
    <t>Weke slijmspons</t>
  </si>
  <si>
    <t>Halocynthia papillosa</t>
  </si>
  <si>
    <t>Halurus flosculosus</t>
  </si>
  <si>
    <t>Harmothoe</t>
  </si>
  <si>
    <t>Harmothoe extenuata</t>
  </si>
  <si>
    <t>Harmothoe imbricata</t>
  </si>
  <si>
    <t>Gladschubbige zeerups</t>
  </si>
  <si>
    <t>Harmothoe impar</t>
  </si>
  <si>
    <t>Schubworm</t>
  </si>
  <si>
    <t>Hartlaubella gelatinosa</t>
  </si>
  <si>
    <t>Gedraaide zeedraad</t>
  </si>
  <si>
    <t>Hediste diversicolor</t>
  </si>
  <si>
    <t>Veelkleurige zeeduizendpoot</t>
  </si>
  <si>
    <t>Helicolenus dactylopterus</t>
  </si>
  <si>
    <t>Blauwkeeltje</t>
  </si>
  <si>
    <t>Hemigrapsus</t>
  </si>
  <si>
    <t>Blaasjeskrab of Penseelkrab</t>
  </si>
  <si>
    <t>Hemigrapsus takanoi</t>
  </si>
  <si>
    <t>Hemilepton nitidum</t>
  </si>
  <si>
    <t>Witte muntschelp</t>
  </si>
  <si>
    <t>Hemimysis lamornae</t>
  </si>
  <si>
    <t>Roodbuik-aasgarnaal</t>
  </si>
  <si>
    <t>Henricia sanguinolenta</t>
  </si>
  <si>
    <t>Bloedrode zeester</t>
  </si>
  <si>
    <t>Hermaea bifida</t>
  </si>
  <si>
    <t>Slanke rolsprietslak</t>
  </si>
  <si>
    <t>Herponema velutinum</t>
  </si>
  <si>
    <t>Bruin pluchewier</t>
  </si>
  <si>
    <t>Heteranomia squamula</t>
  </si>
  <si>
    <t>Schilferige dekschelp</t>
  </si>
  <si>
    <t>Heteromastus filiformis</t>
  </si>
  <si>
    <t>Heterosiphonia japonica</t>
  </si>
  <si>
    <t>Veelvertakt pluimwier</t>
  </si>
  <si>
    <t>Hiatella arctica</t>
  </si>
  <si>
    <t>Noordse rotsboorder</t>
  </si>
  <si>
    <t>Hiatella rugosa</t>
  </si>
  <si>
    <t>Ruwe rotsboorder</t>
  </si>
  <si>
    <t>Hildenbrandia rubra</t>
  </si>
  <si>
    <t>Wijnrood korstwier</t>
  </si>
  <si>
    <t>Hincksia</t>
  </si>
  <si>
    <t>Hippocampus</t>
  </si>
  <si>
    <t>Hippocampus guttulatus</t>
  </si>
  <si>
    <t>Langsnuit zeepaardje</t>
  </si>
  <si>
    <t>Hippocampus hippocampus</t>
  </si>
  <si>
    <t>Kortsnuitzeepaardje</t>
  </si>
  <si>
    <t>Hippoglossoides platessoides</t>
  </si>
  <si>
    <t>Lange schar</t>
  </si>
  <si>
    <t>Hippoglossus</t>
  </si>
  <si>
    <t>Hippoglossus hippoglossus</t>
  </si>
  <si>
    <t>Heilbot</t>
  </si>
  <si>
    <t>Hippolyte varians</t>
  </si>
  <si>
    <t>Veranderlijke steurgarnaal</t>
  </si>
  <si>
    <t>Homarus gammarus</t>
  </si>
  <si>
    <t>Europese zeekreeft</t>
  </si>
  <si>
    <t>Hyala vitrea</t>
  </si>
  <si>
    <t>Doorschijnende spiraalhoren</t>
  </si>
  <si>
    <t>Hyas</t>
  </si>
  <si>
    <t>Hyas araneus</t>
  </si>
  <si>
    <t>Gewone spinkrab</t>
  </si>
  <si>
    <t>Hyas coarctatus</t>
  </si>
  <si>
    <t>Rode spinkrab</t>
  </si>
  <si>
    <t>Hybocodon prolifer</t>
  </si>
  <si>
    <t>Hydractinia</t>
  </si>
  <si>
    <t>Ruwe zeerasp</t>
  </si>
  <si>
    <t>Gekromde zeeborstel</t>
  </si>
  <si>
    <t>Hydrobia acuta</t>
  </si>
  <si>
    <t>Vergeten brakwaterhorentje</t>
  </si>
  <si>
    <t>Hydroides norvegicus</t>
  </si>
  <si>
    <t>Hydrozoa</t>
  </si>
  <si>
    <t>hydropoliel {onb.}</t>
  </si>
  <si>
    <t>Hymedesmia</t>
  </si>
  <si>
    <t>Hymeniacidon</t>
  </si>
  <si>
    <t>Hymeniacidon perlevis</t>
  </si>
  <si>
    <t>Bleke piekjesspons</t>
  </si>
  <si>
    <t>Hyperoplus immaculatus</t>
  </si>
  <si>
    <t>Effen smelt</t>
  </si>
  <si>
    <t>Hyperoplus lanceolatus</t>
  </si>
  <si>
    <t>Smelt</t>
  </si>
  <si>
    <t>Hypoglossum</t>
  </si>
  <si>
    <t>Hypoglossum hypoglossoides</t>
  </si>
  <si>
    <t>Tongwier</t>
  </si>
  <si>
    <t>Idotea</t>
  </si>
  <si>
    <t>zeepissenbed {onb.}</t>
  </si>
  <si>
    <t>Gewone zeepissebed</t>
  </si>
  <si>
    <t>Idotea chelipes</t>
  </si>
  <si>
    <t>Zeeuwse zeepissebed</t>
  </si>
  <si>
    <t>Idotea emarginata</t>
  </si>
  <si>
    <t>Idotea granulosa</t>
  </si>
  <si>
    <t>Idotea linearis</t>
  </si>
  <si>
    <t>Lange zeepissebed</t>
  </si>
  <si>
    <t>Idotea metallica</t>
  </si>
  <si>
    <t>Inachus</t>
  </si>
  <si>
    <t>Inachus phalangium</t>
  </si>
  <si>
    <t>Gladde sponspootkrab</t>
  </si>
  <si>
    <t>Iphimedia obesa</t>
  </si>
  <si>
    <t>Ironus</t>
  </si>
  <si>
    <t>Isopoda</t>
  </si>
  <si>
    <t>pissebed {onb.}</t>
  </si>
  <si>
    <t>Janolus</t>
  </si>
  <si>
    <t>Janolus cristatus</t>
  </si>
  <si>
    <t>Blauwtipje</t>
  </si>
  <si>
    <t>Janolus hyalinus</t>
  </si>
  <si>
    <t>Wrattig tipje</t>
  </si>
  <si>
    <t>Janua pagenstecheri</t>
  </si>
  <si>
    <t>Jassa</t>
  </si>
  <si>
    <t>marmervlokreeftje {onb.}</t>
  </si>
  <si>
    <t>Jassa falcata</t>
  </si>
  <si>
    <t>Jassa herdmani</t>
  </si>
  <si>
    <t>Jassa marmorata</t>
  </si>
  <si>
    <t>Gemarmerde slijkgarnaal</t>
  </si>
  <si>
    <t>Jorunna</t>
  </si>
  <si>
    <t>Jorunna tomentosa</t>
  </si>
  <si>
    <t>Satijnslak</t>
  </si>
  <si>
    <t>Kellia suborbicularis</t>
  </si>
  <si>
    <t>Holte schepje</t>
  </si>
  <si>
    <t>Kirchenpaueria halecioides</t>
  </si>
  <si>
    <t>Kirchenpaueria pinnata</t>
  </si>
  <si>
    <t>Kurtiella bidentata</t>
  </si>
  <si>
    <t>Tweetandschelp</t>
  </si>
  <si>
    <t>Labrus bergylta</t>
  </si>
  <si>
    <t>Gevlekte lipvis</t>
  </si>
  <si>
    <t>Alle</t>
  </si>
  <si>
    <t>Hieronder is ruimte voor opmerkingen (nieuwe regel ALT+Enter tegelijk):</t>
  </si>
  <si>
    <t>Lacuna vincta</t>
  </si>
  <si>
    <t>Scheefhorentje</t>
  </si>
  <si>
    <t>Lagenorhynchus acutus</t>
  </si>
  <si>
    <t>Witflankdolfijn</t>
  </si>
  <si>
    <t>Lagenorhynchus albirostris</t>
  </si>
  <si>
    <t>Witsnuitdolfijn</t>
  </si>
  <si>
    <t>Lamellaria perspicua</t>
  </si>
  <si>
    <t>Groot glasmuiltje</t>
  </si>
  <si>
    <t>Laminaria digitata</t>
  </si>
  <si>
    <t>Vingerwier</t>
  </si>
  <si>
    <t>Lamna nasus</t>
  </si>
  <si>
    <t>Haringhaai</t>
  </si>
  <si>
    <t>Lampetra fluviatilis</t>
  </si>
  <si>
    <t>Rivierprik</t>
  </si>
  <si>
    <t>Lampris guttatus</t>
  </si>
  <si>
    <t>Koningsvis</t>
  </si>
  <si>
    <t>Laomedea</t>
  </si>
  <si>
    <t>Lasaea adansoni</t>
  </si>
  <si>
    <t>Korstmosschelp</t>
  </si>
  <si>
    <t>Leathesia marina</t>
  </si>
  <si>
    <t>Valse oesterdief</t>
  </si>
  <si>
    <t>Lepas</t>
  </si>
  <si>
    <t>Lepas anatifera</t>
  </si>
  <si>
    <t>Gewone eendemossel</t>
  </si>
  <si>
    <t>Lepas anserifera</t>
  </si>
  <si>
    <t>Gekielde eendemossel</t>
  </si>
  <si>
    <t>Lepas pectinata</t>
  </si>
  <si>
    <t>Ruwe eendemossel</t>
  </si>
  <si>
    <t>Lepidochitona cinerea</t>
  </si>
  <si>
    <t>Asgrauwe keverslak</t>
  </si>
  <si>
    <t>Lepidonotus</t>
  </si>
  <si>
    <t>Lepidonotus clava</t>
  </si>
  <si>
    <t>Lepidonotus squamatus</t>
  </si>
  <si>
    <t>Geschubde zeerups</t>
  </si>
  <si>
    <t>Lepidorhombus whiffiagonis</t>
  </si>
  <si>
    <t>Scharretong</t>
  </si>
  <si>
    <t>Leptasterias muelleri</t>
  </si>
  <si>
    <t>Leptochiton asellus</t>
  </si>
  <si>
    <t>Gewone pissebedkeverslak</t>
  </si>
  <si>
    <t>Leptochiton scabridus</t>
  </si>
  <si>
    <t>Geruite pissebedkeverslak</t>
  </si>
  <si>
    <t>Leptomysis lingvura</t>
  </si>
  <si>
    <t>Witrug-aasgarnaal</t>
  </si>
  <si>
    <t>Lepton squamosum</t>
  </si>
  <si>
    <t>Stippelschelp</t>
  </si>
  <si>
    <t>Leptoplana tremellaris</t>
  </si>
  <si>
    <t>Effen vliesworm</t>
  </si>
  <si>
    <t>Lesueurigobius friesii</t>
  </si>
  <si>
    <t>Spitsstaartgrondel</t>
  </si>
  <si>
    <t>Leucandra fistulosa</t>
  </si>
  <si>
    <t>Leuckartiara</t>
  </si>
  <si>
    <t>Leucosolenia variabilis</t>
  </si>
  <si>
    <t>Witte buisjesspons</t>
  </si>
  <si>
    <t>Limacia clavigera</t>
  </si>
  <si>
    <t>Wrattig mosdierslakje</t>
  </si>
  <si>
    <t>Limanda limanda</t>
  </si>
  <si>
    <t>Schar</t>
  </si>
  <si>
    <t>Limapontia capitata</t>
  </si>
  <si>
    <t>Kleine schorrenslak</t>
  </si>
  <si>
    <t>Limapontia depressa</t>
  </si>
  <si>
    <t>Schorrenslak</t>
  </si>
  <si>
    <t>Limnoria lignorum</t>
  </si>
  <si>
    <t>Paalpissebed</t>
  </si>
  <si>
    <t>Lineus</t>
  </si>
  <si>
    <t>Lineus bioculatus</t>
  </si>
  <si>
    <t>Lineus longissimus</t>
  </si>
  <si>
    <t>Langste snoerworm</t>
  </si>
  <si>
    <t>Liocarcinus</t>
  </si>
  <si>
    <t>Liocarcinus depurator</t>
  </si>
  <si>
    <t>Blauwpootzwemkrab</t>
  </si>
  <si>
    <t>Liocarcinus pusillus</t>
  </si>
  <si>
    <t>Kleine zwemkrab</t>
  </si>
  <si>
    <t>Liocarcinus vernalis</t>
  </si>
  <si>
    <t>Grijze zwemkrab</t>
  </si>
  <si>
    <t>Liparis liparis liparis</t>
  </si>
  <si>
    <t>Slakdolf</t>
  </si>
  <si>
    <t>Liparis montagui</t>
  </si>
  <si>
    <t>Kleine slakdolf</t>
  </si>
  <si>
    <t>Lipophrys</t>
  </si>
  <si>
    <t>Lipophrys pholis</t>
  </si>
  <si>
    <t>Steenslijmvis</t>
  </si>
  <si>
    <t>Littorina</t>
  </si>
  <si>
    <t>alikruik {onb.}</t>
  </si>
  <si>
    <t>Littorina arcana</t>
  </si>
  <si>
    <t>Levendbarende alikruik</t>
  </si>
  <si>
    <t>Littorina fabalis</t>
  </si>
  <si>
    <t>Vlakke alikruik</t>
  </si>
  <si>
    <t>Littorina saxatilis</t>
  </si>
  <si>
    <t>Liza aurata</t>
  </si>
  <si>
    <t>Goudharder</t>
  </si>
  <si>
    <t>Liza ramada</t>
  </si>
  <si>
    <t>Dunlipharder</t>
  </si>
  <si>
    <t>Loligo</t>
  </si>
  <si>
    <t>pijlinktvis {onb.}</t>
  </si>
  <si>
    <t>Loligo forbesii</t>
  </si>
  <si>
    <t>Noordse pijlinktvis</t>
  </si>
  <si>
    <t>Loligo vulgaris</t>
  </si>
  <si>
    <t>Gewone pijlinktvis</t>
  </si>
  <si>
    <t>Lomentaria articulata</t>
  </si>
  <si>
    <t>Lomentaria clavellosa</t>
  </si>
  <si>
    <t>Lomentaria hakodatensis</t>
  </si>
  <si>
    <t>Japans kraaltjeswier</t>
  </si>
  <si>
    <t>Lophius budegassa</t>
  </si>
  <si>
    <t>Blonde zeeduivel Grijze z.</t>
  </si>
  <si>
    <t>Lophius piscatorius</t>
  </si>
  <si>
    <t>Zeeduivel</t>
  </si>
  <si>
    <t>Loripes lucinalis</t>
  </si>
  <si>
    <t>Melkwitte cirkelschelp</t>
  </si>
  <si>
    <t>Lucinoma borealis</t>
  </si>
  <si>
    <t>Noordse cirkelschelp</t>
  </si>
  <si>
    <t>Lumpenus lampretaeformis</t>
  </si>
  <si>
    <t>IJslandse bandvis</t>
  </si>
  <si>
    <t>Lutraria angustior</t>
  </si>
  <si>
    <t>Smalle otterschelp</t>
  </si>
  <si>
    <t>Lycodes vahlii</t>
  </si>
  <si>
    <t>Wolfsvis</t>
  </si>
  <si>
    <t>Lyonsia norwegica</t>
  </si>
  <si>
    <t>Noorse vleugelgaper</t>
  </si>
  <si>
    <t>Macropodia</t>
  </si>
  <si>
    <t>hooiwagenkrab {onb}</t>
  </si>
  <si>
    <t>Macropodia deflexa</t>
  </si>
  <si>
    <t>Krombekhooiwagenkrab</t>
  </si>
  <si>
    <t>Macropodia parva</t>
  </si>
  <si>
    <t>Kleine hooiwagenkrab</t>
  </si>
  <si>
    <t>Macropodia rostrata</t>
  </si>
  <si>
    <t>Gewone hooiwagenkrab</t>
  </si>
  <si>
    <t>Macropodia tenuirostris</t>
  </si>
  <si>
    <t>Grote hooiwagenkrab</t>
  </si>
  <si>
    <t>Macroramphosus scolopax</t>
  </si>
  <si>
    <t>Snipvis</t>
  </si>
  <si>
    <t>Malmgreniella lunulata</t>
  </si>
  <si>
    <t>Marenzelleria viridis</t>
  </si>
  <si>
    <t>Gewone groenworm</t>
  </si>
  <si>
    <t>Marstoniopsis</t>
  </si>
  <si>
    <t>Mastocarpus stellatus</t>
  </si>
  <si>
    <t>Kernwier</t>
  </si>
  <si>
    <t>Maurolicus muelleri</t>
  </si>
  <si>
    <t>Lichtend sprotje</t>
  </si>
  <si>
    <t>Megabalanus tintinnabulum</t>
  </si>
  <si>
    <t>Zeetulp</t>
  </si>
  <si>
    <t>Melanogrammus aeglefinus</t>
  </si>
  <si>
    <t>Schelvis</t>
  </si>
  <si>
    <t>Melarhaphe neritoides</t>
  </si>
  <si>
    <t>Kleine alikruik</t>
  </si>
  <si>
    <t>Membranipora membranacea</t>
  </si>
  <si>
    <t>Fijne vliescelpoliep</t>
  </si>
  <si>
    <t>Mercenaria mercenaria</t>
  </si>
  <si>
    <t>Amerikaanse venusschelp</t>
  </si>
  <si>
    <t>Merlangius merlangus</t>
  </si>
  <si>
    <t>Wijting</t>
  </si>
  <si>
    <t>Merluccius merluccius</t>
  </si>
  <si>
    <t>Heek</t>
  </si>
  <si>
    <t>Mesopodopsis slabberi</t>
  </si>
  <si>
    <t>Steeloog aasgarnaal</t>
  </si>
  <si>
    <t>Metopa</t>
  </si>
  <si>
    <t>Micrenophrys lilljeborgii</t>
  </si>
  <si>
    <t>Dwerg zeedonderpad</t>
  </si>
  <si>
    <t>Microchirus variegatus</t>
  </si>
  <si>
    <t>Dikrugtong</t>
  </si>
  <si>
    <t>Micromesistius poutassou</t>
  </si>
  <si>
    <t>Blauwe wijting</t>
  </si>
  <si>
    <t>Micropogonias undulatus</t>
  </si>
  <si>
    <t>Knorrepos</t>
  </si>
  <si>
    <t>Microstomus kitt</t>
  </si>
  <si>
    <t>Tongschar</t>
  </si>
  <si>
    <t>Mimachlamys varia</t>
  </si>
  <si>
    <t>Bonte mantel</t>
  </si>
  <si>
    <t>Mnemiopsis leidyi</t>
  </si>
  <si>
    <t>Modiolus barbatus</t>
  </si>
  <si>
    <t>Baardmossel</t>
  </si>
  <si>
    <t>Modiolus modiolus</t>
  </si>
  <si>
    <t>Paardemossel</t>
  </si>
  <si>
    <t>Moerella donacina</t>
  </si>
  <si>
    <t>Stralende platschelp</t>
  </si>
  <si>
    <t>Mola mola</t>
  </si>
  <si>
    <t>Maanvis</t>
  </si>
  <si>
    <t>Molgula complanata</t>
  </si>
  <si>
    <t>Dwergzijker</t>
  </si>
  <si>
    <t>Molgula manhattensis</t>
  </si>
  <si>
    <t>Ronde zakpijp</t>
  </si>
  <si>
    <t>Molva molva</t>
  </si>
  <si>
    <t>Leng</t>
  </si>
  <si>
    <t>Monia patelliformis</t>
  </si>
  <si>
    <t>Mantel-dekschelp</t>
  </si>
  <si>
    <t>Monia squama</t>
  </si>
  <si>
    <t>Groene dekschelp</t>
  </si>
  <si>
    <t>Monocorophium</t>
  </si>
  <si>
    <t>Monocorophium acherusicum</t>
  </si>
  <si>
    <t>Monocorophium insidiosum</t>
  </si>
  <si>
    <t>Monocorophium sextonae</t>
  </si>
  <si>
    <t>Monostroma</t>
  </si>
  <si>
    <t>Monostroma grevillei</t>
  </si>
  <si>
    <t>Montacuta substriata</t>
  </si>
  <si>
    <t>Geribde zeeklitschelp</t>
  </si>
  <si>
    <t>Morone saxatilis</t>
  </si>
  <si>
    <t>Gestreepte zeebaars</t>
  </si>
  <si>
    <t>Mullus surmuletus</t>
  </si>
  <si>
    <t>Mul</t>
  </si>
  <si>
    <t>Munida rugosa</t>
  </si>
  <si>
    <t>Musculus discors</t>
  </si>
  <si>
    <t>Gebochelde streepschelp</t>
  </si>
  <si>
    <t>Musculus niger</t>
  </si>
  <si>
    <t>Zwarte streepschelp</t>
  </si>
  <si>
    <t>Musculus subpictus</t>
  </si>
  <si>
    <t>Gemarmerde streepschelp</t>
  </si>
  <si>
    <t>Mustelus asterias</t>
  </si>
  <si>
    <t>Gevlekte gladde haai</t>
  </si>
  <si>
    <t>Mustelus mustelus</t>
  </si>
  <si>
    <t>Gladde haai</t>
  </si>
  <si>
    <t>Mycale</t>
  </si>
  <si>
    <t>Mycale micracanthoxea</t>
  </si>
  <si>
    <t>Gele aderspons</t>
  </si>
  <si>
    <t>Myliobatis aquila</t>
  </si>
  <si>
    <t>Adelaarsrog</t>
  </si>
  <si>
    <t>Myosotella denticulata</t>
  </si>
  <si>
    <t>Meertandig muizenoortje</t>
  </si>
  <si>
    <t>Myosotella myosotis</t>
  </si>
  <si>
    <t>Gewoon muizenoortje</t>
  </si>
  <si>
    <t>Myoxocephalus scorpius</t>
  </si>
  <si>
    <t>Gewone zeedonderpad</t>
  </si>
  <si>
    <t>Myrianida prolifera</t>
  </si>
  <si>
    <t>Mysia undata</t>
  </si>
  <si>
    <t>Zandschelp</t>
  </si>
  <si>
    <t>Mytilopsis leucophaeata</t>
  </si>
  <si>
    <t>Brakwatermossel</t>
  </si>
  <si>
    <t>Mytilus galloprovincialis</t>
  </si>
  <si>
    <t>Diepwatermossel</t>
  </si>
  <si>
    <t>Myxicola infundibulum</t>
  </si>
  <si>
    <t>Myxilla rosacea</t>
  </si>
  <si>
    <t>Roze slijmspons</t>
  </si>
  <si>
    <t>Nassarius</t>
  </si>
  <si>
    <t>fuikhoren {onb.}</t>
  </si>
  <si>
    <t>Nassarius incrassatus</t>
  </si>
  <si>
    <t>Verdikte fuikhoren</t>
  </si>
  <si>
    <t>Nassarius pygmaeus</t>
  </si>
  <si>
    <t>Kleine fuikhoren</t>
  </si>
  <si>
    <t>Neanthes fucata</t>
  </si>
  <si>
    <t>Gevlekte zeeduizendpoot</t>
  </si>
  <si>
    <t>Nemertea</t>
  </si>
  <si>
    <t>snoerworm {onb.}</t>
  </si>
  <si>
    <t>Nemertesia antennina</t>
  </si>
  <si>
    <t>Zeespriet</t>
  </si>
  <si>
    <t>Nemopsis bachei</t>
  </si>
  <si>
    <t>SWG01</t>
  </si>
  <si>
    <t>(W.code:)</t>
  </si>
  <si>
    <t>(Trajectnummer:)</t>
  </si>
  <si>
    <t>© Stichting ANEMOON / SWG / 1 oktober 2019</t>
  </si>
  <si>
    <t>Formuliertype SWG01</t>
  </si>
  <si>
    <t>rien-tien@ziggo.nl</t>
  </si>
  <si>
    <t>SWG - 8e nationale SWG-dag</t>
  </si>
</sst>
</file>

<file path=xl/styles.xml><?xml version="1.0" encoding="utf-8"?>
<styleSheet xmlns="http://schemas.openxmlformats.org/spreadsheetml/2006/main">
  <numFmts count="33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mm/yy"/>
    <numFmt numFmtId="179" formatCode="d\ mmm\ yy"/>
    <numFmt numFmtId="180" formatCode="[$-F400]h:mm:ss\ AM/PM"/>
    <numFmt numFmtId="181" formatCode="0#########"/>
    <numFmt numFmtId="182" formatCode="h:mm;@"/>
    <numFmt numFmtId="183" formatCode="[$-413]d/mmm/yyyy;@"/>
    <numFmt numFmtId="184" formatCode="h:mm:ss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62"/>
      </right>
      <top style="thin">
        <color indexed="55"/>
      </top>
      <bottom style="medium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62"/>
      </left>
      <right/>
      <top/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23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thin">
        <color indexed="23"/>
      </left>
      <right style="thin">
        <color indexed="23"/>
      </right>
      <top style="medium">
        <color indexed="62"/>
      </top>
      <bottom style="thin">
        <color indexed="23"/>
      </bottom>
    </border>
    <border>
      <left/>
      <right/>
      <top style="thin">
        <color indexed="23"/>
      </top>
      <bottom style="thin">
        <color indexed="55"/>
      </bottom>
    </border>
    <border>
      <left style="thin">
        <color indexed="23"/>
      </left>
      <right style="medium">
        <color indexed="62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medium">
        <color indexed="62"/>
      </top>
      <bottom/>
    </border>
    <border>
      <left style="thin">
        <color indexed="55"/>
      </left>
      <right style="medium">
        <color indexed="62"/>
      </right>
      <top style="thin">
        <color indexed="55"/>
      </top>
      <bottom/>
    </border>
    <border>
      <left style="thin">
        <color indexed="55"/>
      </left>
      <right style="medium">
        <color indexed="62"/>
      </right>
      <top/>
      <bottom/>
    </border>
    <border>
      <left style="thin">
        <color indexed="55"/>
      </left>
      <right style="medium">
        <color indexed="62"/>
      </right>
      <top/>
      <bottom style="medium">
        <color indexed="6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22"/>
      </left>
      <right style="thin">
        <color indexed="55"/>
      </right>
      <top/>
      <bottom/>
    </border>
    <border>
      <left/>
      <right/>
      <top style="thin">
        <color indexed="55"/>
      </top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>
        <color indexed="62"/>
      </top>
      <bottom style="medium">
        <color indexed="62"/>
      </bottom>
    </border>
    <border>
      <left/>
      <right style="thin">
        <color indexed="23"/>
      </right>
      <top style="medium">
        <color indexed="62"/>
      </top>
      <bottom style="medium">
        <color indexed="62"/>
      </bottom>
    </border>
    <border>
      <left style="thin">
        <color indexed="23"/>
      </left>
      <right/>
      <top style="medium">
        <color indexed="62"/>
      </top>
      <bottom/>
    </border>
    <border>
      <left/>
      <right style="thin">
        <color indexed="23"/>
      </right>
      <top style="medium">
        <color indexed="62"/>
      </top>
      <bottom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62"/>
      </bottom>
    </border>
    <border>
      <left/>
      <right style="thin">
        <color indexed="23"/>
      </right>
      <top style="thin">
        <color indexed="23"/>
      </top>
      <bottom style="medium">
        <color indexed="62"/>
      </bottom>
    </border>
    <border>
      <left style="thin">
        <color indexed="55"/>
      </left>
      <right/>
      <top style="thin">
        <color indexed="55"/>
      </top>
      <bottom style="medium">
        <color indexed="62"/>
      </bottom>
    </border>
    <border>
      <left/>
      <right style="thin">
        <color indexed="55"/>
      </right>
      <top style="thin">
        <color indexed="55"/>
      </top>
      <bottom style="medium">
        <color indexed="62"/>
      </bottom>
    </border>
    <border>
      <left style="thin">
        <color indexed="55"/>
      </left>
      <right/>
      <top style="medium">
        <color indexed="62"/>
      </top>
      <bottom style="thin">
        <color indexed="55"/>
      </bottom>
    </border>
    <border>
      <left/>
      <right style="thin">
        <color indexed="55"/>
      </right>
      <top style="medium">
        <color indexed="62"/>
      </top>
      <bottom style="thin">
        <color indexed="55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" fontId="5" fillId="33" borderId="10" xfId="0" applyNumberFormat="1" applyFont="1" applyFill="1" applyBorder="1" applyAlignment="1">
      <alignment horizontal="left" vertical="center"/>
    </xf>
    <xf numFmtId="16" fontId="5" fillId="33" borderId="0" xfId="0" applyNumberFormat="1" applyFont="1" applyFill="1" applyBorder="1" applyAlignment="1">
      <alignment horizontal="left" vertical="center"/>
    </xf>
    <xf numFmtId="178" fontId="5" fillId="33" borderId="10" xfId="0" applyNumberFormat="1" applyFont="1" applyFill="1" applyBorder="1" applyAlignment="1">
      <alignment horizontal="left" vertical="center"/>
    </xf>
    <xf numFmtId="178" fontId="5" fillId="33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textRotation="90" wrapText="1"/>
    </xf>
    <xf numFmtId="0" fontId="9" fillId="35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14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7" fillId="34" borderId="0" xfId="44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 textRotation="90" wrapText="1"/>
    </xf>
    <xf numFmtId="0" fontId="7" fillId="34" borderId="0" xfId="44" applyNumberFormat="1" applyFill="1" applyBorder="1" applyAlignment="1" applyProtection="1">
      <alignment vertical="center"/>
      <protection/>
    </xf>
    <xf numFmtId="0" fontId="0" fillId="35" borderId="15" xfId="0" applyFill="1" applyBorder="1" applyAlignment="1" quotePrefix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0" fillId="35" borderId="14" xfId="0" applyFill="1" applyBorder="1" applyAlignment="1" quotePrefix="1">
      <alignment horizontal="left" vertical="center"/>
    </xf>
    <xf numFmtId="0" fontId="0" fillId="35" borderId="11" xfId="0" applyFill="1" applyBorder="1" applyAlignment="1" quotePrefix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right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1" xfId="0" applyFill="1" applyBorder="1" applyAlignment="1" quotePrefix="1">
      <alignment horizontal="right" vertical="center"/>
    </xf>
    <xf numFmtId="182" fontId="0" fillId="0" borderId="11" xfId="0" applyNumberFormat="1" applyFont="1" applyBorder="1" applyAlignment="1" applyProtection="1">
      <alignment horizontal="left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11" fillId="35" borderId="22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shrinkToFit="1"/>
    </xf>
    <xf numFmtId="0" fontId="9" fillId="34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>
      <alignment vertical="center" shrinkToFit="1"/>
    </xf>
    <xf numFmtId="0" fontId="9" fillId="34" borderId="0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 quotePrefix="1">
      <alignment horizontal="left" vertical="center"/>
    </xf>
    <xf numFmtId="0" fontId="0" fillId="35" borderId="22" xfId="0" applyFill="1" applyBorder="1" applyAlignment="1">
      <alignment horizontal="center" vertical="center"/>
    </xf>
    <xf numFmtId="0" fontId="0" fillId="35" borderId="22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11" fillId="35" borderId="26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1" fillId="35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 shrinkToFit="1"/>
    </xf>
    <xf numFmtId="0" fontId="12" fillId="35" borderId="3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12" fillId="35" borderId="30" xfId="57" applyFont="1" applyFill="1" applyBorder="1" applyAlignment="1">
      <alignment vertical="center" wrapText="1"/>
      <protection/>
    </xf>
    <xf numFmtId="0" fontId="2" fillId="35" borderId="30" xfId="57" applyFont="1" applyFill="1" applyBorder="1" applyAlignment="1">
      <alignment vertical="center" wrapText="1"/>
      <protection/>
    </xf>
    <xf numFmtId="0" fontId="0" fillId="35" borderId="31" xfId="0" applyFont="1" applyFill="1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 shrinkToFit="1"/>
    </xf>
    <xf numFmtId="0" fontId="7" fillId="34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9" fillId="36" borderId="0" xfId="0" applyFont="1" applyFill="1" applyBorder="1" applyAlignment="1">
      <alignment vertical="center" shrinkToFit="1"/>
    </xf>
    <xf numFmtId="0" fontId="0" fillId="0" borderId="34" xfId="0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9" fillId="34" borderId="37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2" fillId="38" borderId="0" xfId="57" applyFont="1" applyFill="1" applyBorder="1" applyAlignment="1">
      <alignment horizontal="center" vertical="center"/>
      <protection/>
    </xf>
    <xf numFmtId="0" fontId="2" fillId="38" borderId="0" xfId="57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182" fontId="0" fillId="37" borderId="16" xfId="0" applyNumberFormat="1" applyFont="1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8" fillId="37" borderId="40" xfId="0" applyFont="1" applyFill="1" applyBorder="1" applyAlignment="1" applyProtection="1">
      <alignment horizontal="center" vertical="center"/>
      <protection/>
    </xf>
    <xf numFmtId="0" fontId="8" fillId="37" borderId="41" xfId="0" applyFont="1" applyFill="1" applyBorder="1" applyAlignment="1" applyProtection="1">
      <alignment horizontal="center" vertical="center"/>
      <protection/>
    </xf>
    <xf numFmtId="0" fontId="8" fillId="37" borderId="42" xfId="0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/>
    </xf>
    <xf numFmtId="14" fontId="0" fillId="0" borderId="21" xfId="0" applyNumberFormat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quotePrefix="1">
      <alignment horizontal="right" vertical="center"/>
    </xf>
    <xf numFmtId="0" fontId="0" fillId="34" borderId="25" xfId="0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7" borderId="10" xfId="0" applyFill="1" applyBorder="1" applyAlignment="1" applyProtection="1">
      <alignment vertical="center"/>
      <protection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4" xfId="0" applyFill="1" applyBorder="1" applyAlignment="1">
      <alignment horizontal="center" vertical="center" textRotation="90"/>
    </xf>
    <xf numFmtId="0" fontId="0" fillId="37" borderId="10" xfId="0" applyFill="1" applyBorder="1" applyAlignment="1">
      <alignment horizontal="center" vertical="center" textRotation="90"/>
    </xf>
    <xf numFmtId="0" fontId="0" fillId="37" borderId="1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 textRotation="90"/>
    </xf>
    <xf numFmtId="0" fontId="0" fillId="37" borderId="14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4" xfId="0" applyFill="1" applyBorder="1" applyAlignment="1">
      <alignment horizontal="center" vertical="center" textRotation="90" shrinkToFit="1"/>
    </xf>
    <xf numFmtId="0" fontId="0" fillId="37" borderId="10" xfId="0" applyFill="1" applyBorder="1" applyAlignment="1">
      <alignment horizontal="center" vertical="center" textRotation="90" shrinkToFit="1"/>
    </xf>
    <xf numFmtId="0" fontId="0" fillId="37" borderId="28" xfId="0" applyFill="1" applyBorder="1" applyAlignment="1">
      <alignment vertical="center"/>
    </xf>
    <xf numFmtId="0" fontId="9" fillId="34" borderId="24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9" fillId="34" borderId="45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vertical="center"/>
    </xf>
    <xf numFmtId="0" fontId="0" fillId="34" borderId="4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right" vertical="center"/>
    </xf>
    <xf numFmtId="0" fontId="0" fillId="37" borderId="19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18" fillId="0" borderId="0" xfId="58" applyFont="1">
      <alignment/>
      <protection/>
    </xf>
    <xf numFmtId="0" fontId="1" fillId="0" borderId="0" xfId="58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35" borderId="28" xfId="44" applyNumberFormat="1" applyFill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horizontal="left" vertical="center"/>
      <protection locked="0"/>
    </xf>
    <xf numFmtId="179" fontId="0" fillId="0" borderId="16" xfId="0" applyNumberFormat="1" applyFont="1" applyBorder="1" applyAlignment="1" applyProtection="1">
      <alignment horizontal="left" vertical="center"/>
      <protection locked="0"/>
    </xf>
    <xf numFmtId="179" fontId="0" fillId="0" borderId="17" xfId="0" applyNumberFormat="1" applyFont="1" applyBorder="1" applyAlignment="1" applyProtection="1">
      <alignment horizontal="left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horizontal="left" vertical="center"/>
    </xf>
    <xf numFmtId="0" fontId="12" fillId="35" borderId="17" xfId="0" applyFont="1" applyFill="1" applyBorder="1" applyAlignment="1">
      <alignment horizontal="lef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quotePrefix="1">
      <alignment horizontal="right" vertical="center"/>
    </xf>
    <xf numFmtId="0" fontId="0" fillId="35" borderId="16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5" fillId="33" borderId="31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181" fontId="0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vertical="center"/>
      <protection/>
    </xf>
    <xf numFmtId="0" fontId="7" fillId="35" borderId="11" xfId="44" applyNumberFormat="1" applyFill="1" applyBorder="1" applyAlignment="1" applyProtection="1">
      <alignment horizontal="left" vertical="center" shrinkToFit="1"/>
      <protection/>
    </xf>
    <xf numFmtId="0" fontId="7" fillId="35" borderId="11" xfId="44" applyNumberFormat="1" applyFont="1" applyFill="1" applyBorder="1" applyAlignment="1" applyProtection="1">
      <alignment horizontal="left" vertical="center" shrinkToFit="1"/>
      <protection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textRotation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9" fillId="35" borderId="56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20" fontId="0" fillId="38" borderId="15" xfId="0" applyNumberFormat="1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quotePrefix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0" fontId="0" fillId="38" borderId="15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vertical="top" wrapText="1"/>
      <protection locked="0"/>
    </xf>
    <xf numFmtId="0" fontId="0" fillId="38" borderId="16" xfId="0" applyFont="1" applyFill="1" applyBorder="1" applyAlignment="1" applyProtection="1">
      <alignment vertical="top" wrapText="1"/>
      <protection locked="0"/>
    </xf>
    <xf numFmtId="0" fontId="0" fillId="38" borderId="62" xfId="0" applyFont="1" applyFill="1" applyBorder="1" applyAlignment="1" applyProtection="1">
      <alignment vertical="top" wrapText="1"/>
      <protection locked="0"/>
    </xf>
    <xf numFmtId="0" fontId="0" fillId="34" borderId="19" xfId="0" applyFill="1" applyBorder="1" applyAlignment="1" quotePrefix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11" fillId="35" borderId="11" xfId="0" applyFont="1" applyFill="1" applyBorder="1" applyAlignment="1">
      <alignment vertical="center"/>
    </xf>
    <xf numFmtId="0" fontId="9" fillId="35" borderId="63" xfId="0" applyFont="1" applyFill="1" applyBorder="1" applyAlignment="1">
      <alignment horizontal="center" vertical="center"/>
    </xf>
    <xf numFmtId="0" fontId="0" fillId="0" borderId="15" xfId="0" applyNumberFormat="1" applyFont="1" applyBorder="1" applyAlignment="1" applyProtection="1">
      <alignment horizontal="left" vertical="center"/>
      <protection/>
    </xf>
    <xf numFmtId="0" fontId="0" fillId="0" borderId="17" xfId="0" applyNumberFormat="1" applyFont="1" applyBorder="1" applyAlignment="1" applyProtection="1">
      <alignment horizontal="left" vertical="center"/>
      <protection/>
    </xf>
    <xf numFmtId="0" fontId="5" fillId="34" borderId="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183" fontId="0" fillId="0" borderId="15" xfId="0" applyNumberFormat="1" applyBorder="1" applyAlignment="1" applyProtection="1">
      <alignment horizontal="left" vertical="center"/>
      <protection/>
    </xf>
    <xf numFmtId="183" fontId="0" fillId="0" borderId="17" xfId="0" applyNumberFormat="1" applyBorder="1" applyAlignment="1" applyProtection="1">
      <alignment horizontal="left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5" borderId="24" xfId="0" applyFont="1" applyFill="1" applyBorder="1" applyAlignment="1" quotePrefix="1">
      <alignment horizontal="center" vertical="center" wrapText="1" shrinkToFit="1"/>
    </xf>
    <xf numFmtId="0" fontId="9" fillId="35" borderId="25" xfId="0" applyFont="1" applyFill="1" applyBorder="1" applyAlignment="1">
      <alignment horizontal="center" vertical="center" wrapText="1" shrinkToFit="1"/>
    </xf>
    <xf numFmtId="0" fontId="9" fillId="35" borderId="28" xfId="0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 horizontal="center" vertical="center" wrapText="1" shrinkToFit="1"/>
    </xf>
    <xf numFmtId="0" fontId="10" fillId="33" borderId="2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11" fillId="35" borderId="28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0" fillId="0" borderId="15" xfId="0" applyNumberFormat="1" applyBorder="1" applyAlignment="1" applyProtection="1">
      <alignment horizontal="left" vertical="center"/>
      <protection/>
    </xf>
    <xf numFmtId="0" fontId="0" fillId="0" borderId="17" xfId="0" applyNumberFormat="1" applyBorder="1" applyAlignment="1" applyProtection="1">
      <alignment horizontal="left" vertical="center"/>
      <protection/>
    </xf>
    <xf numFmtId="0" fontId="11" fillId="35" borderId="13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SMP_Bijschrijfsoorten_Lijst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emoon.org/Projecten/Strand-SMP-KOR/Aanspoelsel-SMP" TargetMode="External" /><Relationship Id="rId2" Type="http://schemas.openxmlformats.org/officeDocument/2006/relationships/hyperlink" Target="http://www.anemoon.org/Projecten/Strand-SMP-KOR/Aandachtsoorte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showGridLines="0" tabSelected="1" zoomScale="91" zoomScaleNormal="91" zoomScalePageLayoutView="0" workbookViewId="0" topLeftCell="A1">
      <selection activeCell="R12" sqref="R12"/>
    </sheetView>
  </sheetViews>
  <sheetFormatPr defaultColWidth="9.140625" defaultRowHeight="12.75"/>
  <cols>
    <col min="1" max="1" width="1.28515625" style="131" customWidth="1"/>
    <col min="2" max="2" width="0.85546875" style="130" customWidth="1"/>
    <col min="3" max="3" width="1.1484375" style="131" customWidth="1"/>
    <col min="4" max="4" width="23.421875" style="131" customWidth="1"/>
    <col min="5" max="5" width="26.7109375" style="131" customWidth="1"/>
    <col min="6" max="6" width="12.00390625" style="138" customWidth="1"/>
    <col min="7" max="7" width="12.421875" style="138" customWidth="1"/>
    <col min="8" max="8" width="1.421875" style="138" customWidth="1"/>
    <col min="9" max="9" width="13.28125" style="138" customWidth="1"/>
    <col min="10" max="10" width="17.7109375" style="138" customWidth="1"/>
    <col min="11" max="11" width="20.8515625" style="138" customWidth="1"/>
    <col min="12" max="12" width="11.28125" style="138" customWidth="1"/>
    <col min="13" max="13" width="10.140625" style="131" customWidth="1"/>
    <col min="14" max="14" width="0.9921875" style="131" customWidth="1"/>
    <col min="15" max="16384" width="9.140625" style="131" customWidth="1"/>
  </cols>
  <sheetData>
    <row r="1" spans="1:13" ht="4.5" customHeight="1">
      <c r="A1" s="154"/>
      <c r="D1" s="132"/>
      <c r="E1" s="132"/>
      <c r="F1" s="133"/>
      <c r="G1" s="133"/>
      <c r="H1" s="133"/>
      <c r="I1" s="133"/>
      <c r="J1" s="133"/>
      <c r="K1" s="133"/>
      <c r="L1" s="133"/>
      <c r="M1" s="132"/>
    </row>
    <row r="2" spans="1:15" ht="5.25" customHeight="1">
      <c r="A2" s="145"/>
      <c r="B2" s="146"/>
      <c r="C2" s="18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165"/>
      <c r="O2" s="132"/>
    </row>
    <row r="3" spans="1:15" ht="18" customHeight="1">
      <c r="A3" s="145"/>
      <c r="B3" s="146"/>
      <c r="C3" s="168"/>
      <c r="D3" s="152" t="s">
        <v>586</v>
      </c>
      <c r="E3" s="244" t="s">
        <v>2568</v>
      </c>
      <c r="F3" s="244"/>
      <c r="G3" s="244"/>
      <c r="H3" s="153"/>
      <c r="I3" s="245" t="s">
        <v>587</v>
      </c>
      <c r="J3" s="245"/>
      <c r="K3" s="245"/>
      <c r="L3" s="245"/>
      <c r="M3" s="245"/>
      <c r="N3" s="98"/>
      <c r="O3" s="132"/>
    </row>
    <row r="4" spans="2:15" ht="15.75" customHeight="1">
      <c r="B4" s="120"/>
      <c r="C4" s="169"/>
      <c r="D4" s="41" t="s">
        <v>588</v>
      </c>
      <c r="E4" s="246" t="s">
        <v>2562</v>
      </c>
      <c r="F4" s="246"/>
      <c r="G4" s="246"/>
      <c r="H4" s="42"/>
      <c r="I4" s="247" t="s">
        <v>1299</v>
      </c>
      <c r="J4" s="247"/>
      <c r="K4" s="247"/>
      <c r="L4" s="247"/>
      <c r="M4" s="247"/>
      <c r="N4" s="98"/>
      <c r="O4" s="132"/>
    </row>
    <row r="5" spans="2:15" ht="15.75" customHeight="1">
      <c r="B5" s="120"/>
      <c r="C5" s="169"/>
      <c r="D5" s="41" t="s">
        <v>589</v>
      </c>
      <c r="E5" s="248" t="s">
        <v>590</v>
      </c>
      <c r="F5" s="248"/>
      <c r="G5" s="248"/>
      <c r="H5" s="42"/>
      <c r="I5" s="247"/>
      <c r="J5" s="247"/>
      <c r="K5" s="247"/>
      <c r="L5" s="247"/>
      <c r="M5" s="247"/>
      <c r="N5" s="98"/>
      <c r="O5" s="132"/>
    </row>
    <row r="6" spans="2:15" ht="15.75" customHeight="1">
      <c r="B6" s="120"/>
      <c r="C6" s="169"/>
      <c r="D6" s="41" t="s">
        <v>591</v>
      </c>
      <c r="E6" s="252" t="s">
        <v>1303</v>
      </c>
      <c r="F6" s="253"/>
      <c r="G6" s="253"/>
      <c r="H6" s="42"/>
      <c r="I6" s="249" t="s">
        <v>593</v>
      </c>
      <c r="J6" s="250"/>
      <c r="K6" s="9" t="s">
        <v>594</v>
      </c>
      <c r="L6" s="9"/>
      <c r="M6" s="44"/>
      <c r="N6" s="98"/>
      <c r="O6" s="132"/>
    </row>
    <row r="7" spans="2:15" ht="15.75" customHeight="1">
      <c r="B7" s="120"/>
      <c r="C7" s="169"/>
      <c r="D7" s="45" t="s">
        <v>592</v>
      </c>
      <c r="E7" s="200" t="s">
        <v>2567</v>
      </c>
      <c r="F7" s="46"/>
      <c r="G7" s="47"/>
      <c r="H7" s="42"/>
      <c r="I7" s="254" t="s">
        <v>596</v>
      </c>
      <c r="J7" s="255"/>
      <c r="K7" s="1" t="s">
        <v>597</v>
      </c>
      <c r="L7" s="48"/>
      <c r="M7" s="49"/>
      <c r="N7" s="98"/>
      <c r="O7" s="132"/>
    </row>
    <row r="8" spans="2:15" ht="6.75" customHeight="1">
      <c r="B8" s="120"/>
      <c r="C8" s="169"/>
      <c r="D8" s="256"/>
      <c r="E8" s="256"/>
      <c r="F8" s="256"/>
      <c r="G8" s="256"/>
      <c r="H8" s="42"/>
      <c r="I8" s="228"/>
      <c r="J8" s="229"/>
      <c r="K8" s="2"/>
      <c r="L8" s="2"/>
      <c r="M8" s="50"/>
      <c r="N8" s="98"/>
      <c r="O8" s="132"/>
    </row>
    <row r="9" spans="2:15" ht="16.5" customHeight="1">
      <c r="B9" s="120"/>
      <c r="C9" s="169"/>
      <c r="D9" s="41" t="s">
        <v>595</v>
      </c>
      <c r="E9" s="194">
        <f>TRIM(IF(ISERROR(CONCATENATE(VLOOKUP(wcode1,#REF!,5,0)," ",VLOOKUP(wcode1,#REF!,6,0))),"",CONCATENATE(VLOOKUP(wcode1,#REF!,5,0)," ",VLOOKUP(wcode1,#REF!,6,0))))</f>
      </c>
      <c r="F9" s="117" t="s">
        <v>2563</v>
      </c>
      <c r="G9" s="199"/>
      <c r="H9" s="42"/>
      <c r="I9" s="228" t="s">
        <v>599</v>
      </c>
      <c r="J9" s="229"/>
      <c r="K9" s="3" t="s">
        <v>600</v>
      </c>
      <c r="L9" s="4"/>
      <c r="M9" s="50"/>
      <c r="N9" s="98"/>
      <c r="O9" s="132"/>
    </row>
    <row r="10" spans="2:15" ht="16.5" customHeight="1">
      <c r="B10" s="120"/>
      <c r="C10" s="169"/>
      <c r="D10" s="41" t="s">
        <v>598</v>
      </c>
      <c r="E10" s="251">
        <f>TRIM(IF(ISERROR(CONCATENATE(VLOOKUP(wcode1,#REF!,7,0)," ",VLOOKUP(wcode1,#REF!,8,0)," ",VLOOKUP(wcode1,#REF!,9,0))),"",CONCATENATE(VLOOKUP(wcode1,#REF!,7,0)," ",VLOOKUP(wcode1,#REF!,8,0)," ",VLOOKUP(wcode1,#REF!,9,0))))</f>
      </c>
      <c r="F10" s="251" t="e">
        <f>VLOOKUP(wcode1,#REF!,6,0)</f>
        <v>#REF!</v>
      </c>
      <c r="G10" s="251" t="e">
        <f>VLOOKUP(wcode1,#REF!,6,0)</f>
        <v>#REF!</v>
      </c>
      <c r="H10" s="42"/>
      <c r="I10" s="228" t="s">
        <v>603</v>
      </c>
      <c r="J10" s="229"/>
      <c r="K10" s="5" t="s">
        <v>604</v>
      </c>
      <c r="L10" s="6"/>
      <c r="M10" s="50"/>
      <c r="N10" s="98"/>
      <c r="O10" s="132"/>
    </row>
    <row r="11" spans="2:15" ht="16.5" customHeight="1">
      <c r="B11" s="120"/>
      <c r="C11" s="169"/>
      <c r="D11" s="41" t="s">
        <v>601</v>
      </c>
      <c r="E11" s="194">
        <f>TRIM(IF(ISERROR(VLOOKUP(wcode1,#REF!,11,0)),"",VLOOKUP(wcode1,#REF!,11,0)))</f>
      </c>
      <c r="F11" s="117" t="s">
        <v>602</v>
      </c>
      <c r="G11" s="194">
        <f>TRIM(IF(ISERROR(VLOOKUP(wcode1,#REF!,10,0)),"",VLOOKUP(wcode1,#REF!,10,0)))</f>
      </c>
      <c r="H11" s="42"/>
      <c r="I11" s="228" t="s">
        <v>606</v>
      </c>
      <c r="J11" s="229"/>
      <c r="K11" s="7" t="s">
        <v>607</v>
      </c>
      <c r="L11" s="8"/>
      <c r="M11" s="50"/>
      <c r="N11" s="98"/>
      <c r="O11" s="132"/>
    </row>
    <row r="12" spans="2:15" ht="16.5" customHeight="1">
      <c r="B12" s="120"/>
      <c r="C12" s="169"/>
      <c r="D12" s="41" t="s">
        <v>605</v>
      </c>
      <c r="E12" s="241">
        <f>TRIM(IF(ISERROR(VLOOKUP(wcode1,#REF!,12,0)),"",VLOOKUP(wcode1,#REF!,12,0)))</f>
      </c>
      <c r="F12" s="241"/>
      <c r="G12" s="241"/>
      <c r="H12" s="42"/>
      <c r="I12" s="228" t="s">
        <v>609</v>
      </c>
      <c r="J12" s="229"/>
      <c r="K12" s="7" t="s">
        <v>610</v>
      </c>
      <c r="L12" s="8"/>
      <c r="M12" s="50"/>
      <c r="N12" s="98"/>
      <c r="O12" s="132"/>
    </row>
    <row r="13" spans="2:15" ht="16.5" customHeight="1">
      <c r="B13" s="120"/>
      <c r="C13" s="169"/>
      <c r="D13" s="41" t="s">
        <v>608</v>
      </c>
      <c r="E13" s="242">
        <f>TRIM(IF(ISERROR(VLOOKUP(wcode1,#REF!,15,0)),"",VLOOKUP(wcode1,#REF!,15,0)))</f>
      </c>
      <c r="F13" s="242"/>
      <c r="G13" s="242"/>
      <c r="H13" s="42"/>
      <c r="I13" s="228" t="s">
        <v>611</v>
      </c>
      <c r="J13" s="229"/>
      <c r="K13" s="7" t="s">
        <v>612</v>
      </c>
      <c r="L13" s="8"/>
      <c r="M13" s="50"/>
      <c r="N13" s="98"/>
      <c r="O13" s="132"/>
    </row>
    <row r="14" spans="2:15" ht="16.5" customHeight="1">
      <c r="B14" s="120"/>
      <c r="C14" s="169"/>
      <c r="D14" s="41" t="s">
        <v>613</v>
      </c>
      <c r="E14" s="195">
        <f>TRIM(IF(ISERROR(CONCATENATE(VLOOKUP(wcode2,#REF!,5,0)," ",VLOOKUP(wcode2,#REF!,6,0))),"",CONCATENATE(VLOOKUP(wcode2,#REF!,5,0)," ",VLOOKUP(wcode2,#REF!,6,0))))</f>
      </c>
      <c r="F14" s="117" t="s">
        <v>2563</v>
      </c>
      <c r="G14" s="198"/>
      <c r="H14" s="42"/>
      <c r="I14" s="228" t="s">
        <v>614</v>
      </c>
      <c r="J14" s="229"/>
      <c r="K14" s="7" t="s">
        <v>615</v>
      </c>
      <c r="L14" s="8"/>
      <c r="M14" s="50"/>
      <c r="N14" s="98"/>
      <c r="O14" s="132"/>
    </row>
    <row r="15" spans="2:15" ht="16.5" customHeight="1">
      <c r="B15" s="120"/>
      <c r="C15" s="169"/>
      <c r="D15" s="41" t="s">
        <v>598</v>
      </c>
      <c r="E15" s="232">
        <f>TRIM(IF(ISERROR(CONCATENATE(VLOOKUP(wcode2,#REF!,7,0)," ",VLOOKUP(wcode2,#REF!,8,0)," ",VLOOKUP(wcode2,#REF!,9,0))),"",CONCATENATE(VLOOKUP(wcode2,#REF!,7,0)," ",VLOOKUP(wcode2,#REF!,8,0)," ",VLOOKUP(wcode2,#REF!,9,0))))</f>
      </c>
      <c r="F15" s="233" t="e">
        <f>VLOOKUP(wcode2,#REF!,6,0)</f>
        <v>#REF!</v>
      </c>
      <c r="G15" s="234" t="e">
        <f>VLOOKUP(wcode2,#REF!,6,0)</f>
        <v>#REF!</v>
      </c>
      <c r="H15" s="42"/>
      <c r="I15" s="228" t="s">
        <v>616</v>
      </c>
      <c r="J15" s="229"/>
      <c r="K15" s="23" t="s">
        <v>617</v>
      </c>
      <c r="L15" s="7"/>
      <c r="M15" s="52"/>
      <c r="N15" s="98"/>
      <c r="O15" s="132"/>
    </row>
    <row r="16" spans="2:15" ht="16.5" customHeight="1">
      <c r="B16" s="120"/>
      <c r="C16" s="170"/>
      <c r="D16" s="41" t="s">
        <v>601</v>
      </c>
      <c r="E16" s="195">
        <f>TRIM(IF(ISERROR(VLOOKUP(wcode2,#REF!,11,0)),"",VLOOKUP(wcode2,#REF!,11,0)))</f>
      </c>
      <c r="F16" s="117" t="s">
        <v>602</v>
      </c>
      <c r="G16" s="195">
        <f>TRIM(IF(ISERROR(VLOOKUP(wcode2,#REF!,10,0)),"",VLOOKUP(wcode2,#REF!,10,0)))</f>
      </c>
      <c r="H16" s="42"/>
      <c r="I16" s="230" t="s">
        <v>1198</v>
      </c>
      <c r="J16" s="231"/>
      <c r="K16" s="22" t="s">
        <v>1199</v>
      </c>
      <c r="L16" s="22"/>
      <c r="M16" s="53"/>
      <c r="N16" s="98"/>
      <c r="O16" s="132"/>
    </row>
    <row r="17" spans="2:15" ht="16.5" customHeight="1">
      <c r="B17" s="120"/>
      <c r="C17" s="170"/>
      <c r="D17" s="41" t="s">
        <v>605</v>
      </c>
      <c r="E17" s="241">
        <f>TRIM(IF(ISERROR(VLOOKUP(wcode2,#REF!,12,0)),"",VLOOKUP(wcode2,#REF!,12,0)))</f>
      </c>
      <c r="F17" s="241"/>
      <c r="G17" s="241"/>
      <c r="H17" s="42"/>
      <c r="I17" s="26" t="s">
        <v>1315</v>
      </c>
      <c r="J17" s="27"/>
      <c r="K17" s="27"/>
      <c r="L17" s="27"/>
      <c r="M17" s="28"/>
      <c r="N17" s="98"/>
      <c r="O17" s="132"/>
    </row>
    <row r="18" spans="2:15" ht="16.5" customHeight="1">
      <c r="B18" s="120"/>
      <c r="C18" s="170"/>
      <c r="D18" s="41" t="s">
        <v>608</v>
      </c>
      <c r="E18" s="258">
        <f>TRIM(IF(ISERROR(VLOOKUP(wcode2,#REF!,15,0)),"",VLOOKUP(wcode2,#REF!,15,0)))</f>
      </c>
      <c r="F18" s="258"/>
      <c r="G18" s="258"/>
      <c r="H18" s="42"/>
      <c r="I18" s="238" t="s">
        <v>618</v>
      </c>
      <c r="J18" s="239"/>
      <c r="K18" s="239"/>
      <c r="L18" s="239"/>
      <c r="M18" s="240"/>
      <c r="N18" s="98"/>
      <c r="O18" s="132"/>
    </row>
    <row r="19" spans="2:15" ht="5.25" customHeight="1" thickBot="1">
      <c r="B19" s="120"/>
      <c r="C19" s="170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98"/>
      <c r="O19" s="132"/>
    </row>
    <row r="20" spans="2:15" ht="18" customHeight="1" thickBot="1">
      <c r="B20" s="120"/>
      <c r="C20" s="170"/>
      <c r="D20" s="226" t="s">
        <v>1319</v>
      </c>
      <c r="E20" s="227"/>
      <c r="F20" s="227"/>
      <c r="G20" s="116" t="s">
        <v>2317</v>
      </c>
      <c r="H20" s="54"/>
      <c r="I20" s="235" t="s">
        <v>1274</v>
      </c>
      <c r="J20" s="236"/>
      <c r="K20" s="236"/>
      <c r="L20" s="236"/>
      <c r="M20" s="237"/>
      <c r="N20" s="98"/>
      <c r="O20" s="132"/>
    </row>
    <row r="21" spans="2:15" ht="5.25" customHeight="1">
      <c r="B21" s="120"/>
      <c r="C21" s="169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98"/>
      <c r="O21" s="132"/>
    </row>
    <row r="22" spans="2:15" ht="16.5" customHeight="1">
      <c r="B22" s="120"/>
      <c r="C22" s="170"/>
      <c r="D22" s="41" t="s">
        <v>619</v>
      </c>
      <c r="E22" s="201"/>
      <c r="F22" s="202"/>
      <c r="G22" s="203"/>
      <c r="H22" s="55"/>
      <c r="I22" s="284" t="s">
        <v>1242</v>
      </c>
      <c r="J22" s="284"/>
      <c r="K22" s="284"/>
      <c r="L22" s="277"/>
      <c r="M22" s="278"/>
      <c r="N22" s="166"/>
      <c r="O22" s="132"/>
    </row>
    <row r="23" spans="2:15" ht="16.5" customHeight="1" thickBot="1">
      <c r="B23" s="120"/>
      <c r="C23" s="169"/>
      <c r="D23" s="41" t="s">
        <v>2564</v>
      </c>
      <c r="E23" s="191">
        <f>IF(ISERROR(VLOOKUP(Loop_traject,Namen!A3:B10,2,0)),"",VLOOKUP(Loop_traject,Namen!A3:B10,2,0))</f>
      </c>
      <c r="F23" s="121"/>
      <c r="G23" s="80"/>
      <c r="H23" s="98"/>
      <c r="I23" s="283" t="s">
        <v>1393</v>
      </c>
      <c r="J23" s="284"/>
      <c r="K23" s="284"/>
      <c r="L23" s="281"/>
      <c r="M23" s="282"/>
      <c r="N23" s="98"/>
      <c r="O23" s="132"/>
    </row>
    <row r="24" spans="2:15" ht="16.5" customHeight="1" thickBot="1">
      <c r="B24" s="120"/>
      <c r="C24" s="169"/>
      <c r="D24" s="56" t="s">
        <v>1189</v>
      </c>
      <c r="E24" s="163"/>
      <c r="F24" s="56" t="s">
        <v>1320</v>
      </c>
      <c r="G24" s="116"/>
      <c r="H24" s="98"/>
      <c r="I24" s="285" t="s">
        <v>1312</v>
      </c>
      <c r="J24" s="227"/>
      <c r="K24" s="286"/>
      <c r="L24" s="287"/>
      <c r="M24" s="282"/>
      <c r="N24" s="98"/>
      <c r="O24" s="132"/>
    </row>
    <row r="25" spans="2:15" ht="16.5" customHeight="1">
      <c r="B25" s="120"/>
      <c r="C25" s="169"/>
      <c r="D25" s="164" t="s">
        <v>1394</v>
      </c>
      <c r="E25" s="158"/>
      <c r="F25" s="121"/>
      <c r="G25" s="80"/>
      <c r="H25" s="98"/>
      <c r="I25" s="285" t="s">
        <v>620</v>
      </c>
      <c r="J25" s="227"/>
      <c r="K25" s="286"/>
      <c r="L25" s="287"/>
      <c r="M25" s="282"/>
      <c r="N25" s="98"/>
      <c r="O25" s="132"/>
    </row>
    <row r="26" spans="2:15" ht="16.5" customHeight="1">
      <c r="B26" s="120"/>
      <c r="C26" s="169"/>
      <c r="D26" s="164" t="s">
        <v>1395</v>
      </c>
      <c r="E26" s="57"/>
      <c r="F26" s="121"/>
      <c r="G26" s="80"/>
      <c r="H26" s="98"/>
      <c r="I26" s="285" t="s">
        <v>621</v>
      </c>
      <c r="J26" s="227"/>
      <c r="K26" s="286"/>
      <c r="L26" s="287"/>
      <c r="M26" s="282"/>
      <c r="N26" s="98"/>
      <c r="O26" s="132"/>
    </row>
    <row r="27" spans="2:15" ht="4.5" customHeight="1">
      <c r="B27" s="120"/>
      <c r="C27" s="169"/>
      <c r="D27" s="134"/>
      <c r="E27" s="143"/>
      <c r="F27" s="279"/>
      <c r="G27" s="270"/>
      <c r="H27" s="270"/>
      <c r="I27" s="280"/>
      <c r="J27" s="280"/>
      <c r="K27" s="280"/>
      <c r="L27" s="280"/>
      <c r="M27" s="280"/>
      <c r="N27" s="98"/>
      <c r="O27" s="132"/>
    </row>
    <row r="28" spans="2:15" ht="15" customHeight="1" thickBot="1">
      <c r="B28" s="120"/>
      <c r="C28" s="170"/>
      <c r="D28" s="204" t="s">
        <v>622</v>
      </c>
      <c r="E28" s="205"/>
      <c r="F28" s="60" t="s">
        <v>1249</v>
      </c>
      <c r="G28" s="126"/>
      <c r="H28" s="98"/>
      <c r="I28" s="204" t="s">
        <v>669</v>
      </c>
      <c r="J28" s="259"/>
      <c r="K28" s="205"/>
      <c r="L28" s="59" t="s">
        <v>1289</v>
      </c>
      <c r="M28" s="59" t="s">
        <v>702</v>
      </c>
      <c r="N28" s="98"/>
      <c r="O28" s="132"/>
    </row>
    <row r="29" spans="2:15" ht="15" customHeight="1" thickBot="1">
      <c r="B29" s="120"/>
      <c r="C29" s="169"/>
      <c r="D29" s="63" t="s">
        <v>623</v>
      </c>
      <c r="E29" s="31" t="s">
        <v>624</v>
      </c>
      <c r="F29" s="116"/>
      <c r="G29" s="126"/>
      <c r="H29" s="98"/>
      <c r="I29" s="215" t="s">
        <v>1305</v>
      </c>
      <c r="J29" s="216"/>
      <c r="K29" s="32" t="s">
        <v>1304</v>
      </c>
      <c r="L29" s="144"/>
      <c r="M29" s="116"/>
      <c r="N29" s="98"/>
      <c r="O29" s="132"/>
    </row>
    <row r="30" spans="2:15" ht="15" customHeight="1" thickBot="1">
      <c r="B30" s="120"/>
      <c r="C30" s="169"/>
      <c r="D30" s="63" t="s">
        <v>625</v>
      </c>
      <c r="E30" s="32" t="s">
        <v>626</v>
      </c>
      <c r="F30" s="116"/>
      <c r="G30" s="61"/>
      <c r="H30" s="62"/>
      <c r="I30" s="215" t="s">
        <v>1276</v>
      </c>
      <c r="J30" s="216"/>
      <c r="K30" s="32" t="s">
        <v>1275</v>
      </c>
      <c r="L30" s="116"/>
      <c r="M30" s="116"/>
      <c r="N30" s="98"/>
      <c r="O30" s="132"/>
    </row>
    <row r="31" spans="2:15" ht="15" customHeight="1" thickBot="1">
      <c r="B31" s="120"/>
      <c r="C31" s="171"/>
      <c r="D31" s="63" t="s">
        <v>1307</v>
      </c>
      <c r="E31" s="32" t="s">
        <v>1308</v>
      </c>
      <c r="F31" s="116"/>
      <c r="G31" s="61"/>
      <c r="H31" s="260"/>
      <c r="I31" s="215" t="s">
        <v>673</v>
      </c>
      <c r="J31" s="216"/>
      <c r="K31" s="32" t="s">
        <v>674</v>
      </c>
      <c r="L31" s="116"/>
      <c r="M31" s="116"/>
      <c r="N31" s="98"/>
      <c r="O31" s="132"/>
    </row>
    <row r="32" spans="2:30" ht="15" customHeight="1" thickBot="1">
      <c r="B32" s="120"/>
      <c r="C32" s="171"/>
      <c r="D32" s="63" t="s">
        <v>1310</v>
      </c>
      <c r="E32" s="32" t="s">
        <v>1311</v>
      </c>
      <c r="F32" s="116"/>
      <c r="G32" s="61"/>
      <c r="H32" s="260"/>
      <c r="I32" s="215" t="s">
        <v>678</v>
      </c>
      <c r="J32" s="216"/>
      <c r="K32" s="32" t="s">
        <v>679</v>
      </c>
      <c r="L32" s="116"/>
      <c r="M32" s="116"/>
      <c r="N32" s="98"/>
      <c r="O32" s="132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</row>
    <row r="33" spans="2:30" ht="15" customHeight="1" thickBot="1">
      <c r="B33" s="120"/>
      <c r="C33" s="171"/>
      <c r="D33" s="63" t="s">
        <v>629</v>
      </c>
      <c r="E33" s="32" t="s">
        <v>630</v>
      </c>
      <c r="F33" s="116"/>
      <c r="G33" s="61"/>
      <c r="H33" s="260"/>
      <c r="I33" s="215" t="s">
        <v>680</v>
      </c>
      <c r="J33" s="216"/>
      <c r="K33" s="32" t="s">
        <v>681</v>
      </c>
      <c r="L33" s="116"/>
      <c r="M33" s="116"/>
      <c r="N33" s="98"/>
      <c r="O33" s="132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</row>
    <row r="34" spans="2:30" ht="15" customHeight="1" thickBot="1">
      <c r="B34" s="120"/>
      <c r="C34" s="171"/>
      <c r="D34" s="64" t="s">
        <v>633</v>
      </c>
      <c r="E34" s="33" t="s">
        <v>634</v>
      </c>
      <c r="F34" s="116"/>
      <c r="G34" s="61"/>
      <c r="H34" s="260"/>
      <c r="I34" s="280"/>
      <c r="J34" s="280"/>
      <c r="K34" s="280"/>
      <c r="L34" s="270"/>
      <c r="M34" s="270"/>
      <c r="N34" s="98"/>
      <c r="O34" s="132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</row>
    <row r="35" spans="2:30" ht="15" customHeight="1" thickBot="1">
      <c r="B35" s="120"/>
      <c r="C35" s="171"/>
      <c r="D35" s="100" t="s">
        <v>1309</v>
      </c>
      <c r="E35" s="101" t="s">
        <v>1316</v>
      </c>
      <c r="F35" s="103"/>
      <c r="G35" s="61"/>
      <c r="H35" s="260"/>
      <c r="I35" s="204" t="s">
        <v>637</v>
      </c>
      <c r="J35" s="259"/>
      <c r="K35" s="259"/>
      <c r="L35" s="263" t="s">
        <v>1273</v>
      </c>
      <c r="M35" s="264"/>
      <c r="N35" s="98"/>
      <c r="O35" s="132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</row>
    <row r="36" spans="2:30" ht="15" customHeight="1" thickBot="1">
      <c r="B36" s="120"/>
      <c r="C36" s="171"/>
      <c r="D36" s="64" t="s">
        <v>1313</v>
      </c>
      <c r="E36" s="102" t="s">
        <v>1314</v>
      </c>
      <c r="F36" s="103"/>
      <c r="G36" s="61"/>
      <c r="H36" s="260"/>
      <c r="I36" s="63" t="s">
        <v>640</v>
      </c>
      <c r="J36" s="63"/>
      <c r="K36" s="32" t="s">
        <v>641</v>
      </c>
      <c r="L36" s="217"/>
      <c r="M36" s="218"/>
      <c r="N36" s="98"/>
      <c r="O36" s="132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</row>
    <row r="37" spans="2:30" ht="15" customHeight="1" thickBot="1">
      <c r="B37" s="120"/>
      <c r="C37" s="171"/>
      <c r="D37" s="65" t="s">
        <v>1239</v>
      </c>
      <c r="E37" s="34" t="s">
        <v>1240</v>
      </c>
      <c r="F37" s="116"/>
      <c r="G37" s="61"/>
      <c r="H37" s="260"/>
      <c r="I37" s="66" t="s">
        <v>642</v>
      </c>
      <c r="J37" s="66"/>
      <c r="K37" s="32" t="s">
        <v>1210</v>
      </c>
      <c r="L37" s="217"/>
      <c r="M37" s="218"/>
      <c r="N37" s="98"/>
      <c r="O37" s="132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</row>
    <row r="38" spans="2:30" ht="15" customHeight="1" thickBot="1">
      <c r="B38" s="120"/>
      <c r="C38" s="171"/>
      <c r="D38" s="63" t="s">
        <v>635</v>
      </c>
      <c r="E38" s="32" t="s">
        <v>636</v>
      </c>
      <c r="F38" s="116"/>
      <c r="G38" s="61"/>
      <c r="H38" s="260"/>
      <c r="I38" s="213" t="s">
        <v>643</v>
      </c>
      <c r="J38" s="214"/>
      <c r="K38" s="32" t="s">
        <v>644</v>
      </c>
      <c r="L38" s="217"/>
      <c r="M38" s="218"/>
      <c r="N38" s="98"/>
      <c r="O38" s="132"/>
      <c r="T38" s="120"/>
      <c r="U38" s="146"/>
      <c r="V38" s="146"/>
      <c r="W38" s="146"/>
      <c r="X38" s="146"/>
      <c r="Y38" s="146"/>
      <c r="Z38" s="145"/>
      <c r="AA38" s="145"/>
      <c r="AB38" s="145"/>
      <c r="AC38" s="145"/>
      <c r="AD38" s="145"/>
    </row>
    <row r="39" spans="2:30" ht="15" customHeight="1" thickBot="1">
      <c r="B39" s="120"/>
      <c r="C39" s="171"/>
      <c r="D39" s="64" t="s">
        <v>638</v>
      </c>
      <c r="E39" s="33" t="s">
        <v>639</v>
      </c>
      <c r="F39" s="116"/>
      <c r="G39" s="61"/>
      <c r="H39" s="260"/>
      <c r="I39" s="66" t="s">
        <v>647</v>
      </c>
      <c r="J39" s="66"/>
      <c r="K39" s="32" t="s">
        <v>648</v>
      </c>
      <c r="L39" s="217"/>
      <c r="M39" s="218"/>
      <c r="N39" s="98"/>
      <c r="O39" s="132"/>
      <c r="T39" s="120"/>
      <c r="U39" s="146"/>
      <c r="V39" s="146"/>
      <c r="W39" s="146"/>
      <c r="X39" s="146"/>
      <c r="Y39" s="146"/>
      <c r="Z39" s="145"/>
      <c r="AA39" s="145"/>
      <c r="AB39" s="145"/>
      <c r="AC39" s="145"/>
      <c r="AD39" s="145"/>
    </row>
    <row r="40" spans="2:30" ht="15" customHeight="1" thickBot="1">
      <c r="B40" s="120"/>
      <c r="C40" s="171"/>
      <c r="D40" s="63" t="s">
        <v>645</v>
      </c>
      <c r="E40" s="32" t="s">
        <v>646</v>
      </c>
      <c r="F40" s="116"/>
      <c r="G40" s="61"/>
      <c r="H40" s="260"/>
      <c r="I40" s="63" t="s">
        <v>653</v>
      </c>
      <c r="J40" s="63"/>
      <c r="K40" s="32" t="s">
        <v>654</v>
      </c>
      <c r="L40" s="217"/>
      <c r="M40" s="218"/>
      <c r="N40" s="98"/>
      <c r="O40" s="132"/>
      <c r="T40" s="120"/>
      <c r="U40" s="146"/>
      <c r="V40" s="146"/>
      <c r="W40" s="146"/>
      <c r="X40" s="146"/>
      <c r="Y40" s="146"/>
      <c r="Z40" s="145"/>
      <c r="AA40" s="145"/>
      <c r="AB40" s="145"/>
      <c r="AC40" s="145"/>
      <c r="AD40" s="145"/>
    </row>
    <row r="41" spans="2:30" ht="15" customHeight="1" thickBot="1">
      <c r="B41" s="120"/>
      <c r="C41" s="171"/>
      <c r="D41" s="63" t="s">
        <v>649</v>
      </c>
      <c r="E41" s="37" t="s">
        <v>1288</v>
      </c>
      <c r="F41" s="116"/>
      <c r="G41" s="61"/>
      <c r="H41" s="260"/>
      <c r="I41" s="213" t="s">
        <v>657</v>
      </c>
      <c r="J41" s="214"/>
      <c r="K41" s="31" t="s">
        <v>1285</v>
      </c>
      <c r="L41" s="217"/>
      <c r="M41" s="218"/>
      <c r="N41" s="98"/>
      <c r="O41" s="132"/>
      <c r="T41" s="120"/>
      <c r="U41" s="146"/>
      <c r="V41" s="146"/>
      <c r="W41" s="146"/>
      <c r="X41" s="146"/>
      <c r="Y41" s="146"/>
      <c r="Z41" s="145"/>
      <c r="AA41" s="145"/>
      <c r="AB41" s="145"/>
      <c r="AC41" s="145"/>
      <c r="AD41" s="145"/>
    </row>
    <row r="42" spans="2:30" ht="15" customHeight="1" thickBot="1">
      <c r="B42" s="120"/>
      <c r="C42" s="171"/>
      <c r="D42" s="64" t="s">
        <v>651</v>
      </c>
      <c r="E42" s="33" t="s">
        <v>652</v>
      </c>
      <c r="F42" s="116"/>
      <c r="G42" s="61"/>
      <c r="H42" s="260"/>
      <c r="I42" s="213" t="s">
        <v>1267</v>
      </c>
      <c r="J42" s="214"/>
      <c r="K42" s="31" t="s">
        <v>1286</v>
      </c>
      <c r="L42" s="217"/>
      <c r="M42" s="218"/>
      <c r="N42" s="98"/>
      <c r="O42" s="132"/>
      <c r="T42" s="120"/>
      <c r="U42" s="261"/>
      <c r="V42" s="261"/>
      <c r="W42" s="147"/>
      <c r="X42" s="147"/>
      <c r="Y42" s="146"/>
      <c r="Z42" s="145"/>
      <c r="AA42" s="145"/>
      <c r="AB42" s="145"/>
      <c r="AC42" s="145"/>
      <c r="AD42" s="145"/>
    </row>
    <row r="43" spans="2:30" ht="15" customHeight="1" thickBot="1">
      <c r="B43" s="120"/>
      <c r="C43" s="171"/>
      <c r="D43" s="67" t="s">
        <v>655</v>
      </c>
      <c r="E43" s="35" t="s">
        <v>656</v>
      </c>
      <c r="F43" s="72"/>
      <c r="G43" s="61"/>
      <c r="H43" s="260"/>
      <c r="I43" s="213" t="s">
        <v>1293</v>
      </c>
      <c r="J43" s="214"/>
      <c r="K43" s="32" t="s">
        <v>662</v>
      </c>
      <c r="L43" s="217"/>
      <c r="M43" s="218"/>
      <c r="N43" s="98"/>
      <c r="O43" s="132"/>
      <c r="T43" s="120"/>
      <c r="U43" s="148"/>
      <c r="V43" s="149"/>
      <c r="W43" s="150"/>
      <c r="X43" s="150"/>
      <c r="Y43" s="146"/>
      <c r="Z43" s="145"/>
      <c r="AA43" s="145"/>
      <c r="AB43" s="145"/>
      <c r="AC43" s="145"/>
      <c r="AD43" s="145"/>
    </row>
    <row r="44" spans="2:30" ht="15" customHeight="1" thickBot="1">
      <c r="B44" s="120"/>
      <c r="C44" s="171"/>
      <c r="D44" s="69" t="s">
        <v>658</v>
      </c>
      <c r="E44" s="31" t="s">
        <v>659</v>
      </c>
      <c r="F44" s="116"/>
      <c r="G44" s="61"/>
      <c r="H44" s="260"/>
      <c r="I44" s="66" t="s">
        <v>665</v>
      </c>
      <c r="J44" s="66"/>
      <c r="K44" s="73" t="s">
        <v>666</v>
      </c>
      <c r="L44" s="217"/>
      <c r="M44" s="218"/>
      <c r="N44" s="98"/>
      <c r="O44" s="132"/>
      <c r="T44" s="120"/>
      <c r="U44" s="148"/>
      <c r="V44" s="146"/>
      <c r="W44" s="150"/>
      <c r="X44" s="150"/>
      <c r="Y44" s="146"/>
      <c r="Z44" s="145"/>
      <c r="AA44" s="145"/>
      <c r="AB44" s="145"/>
      <c r="AC44" s="145"/>
      <c r="AD44" s="145"/>
    </row>
    <row r="45" spans="2:30" ht="15" customHeight="1">
      <c r="B45" s="120"/>
      <c r="C45" s="171"/>
      <c r="D45" s="74" t="s">
        <v>660</v>
      </c>
      <c r="E45" s="38" t="s">
        <v>661</v>
      </c>
      <c r="F45" s="68"/>
      <c r="G45" s="61"/>
      <c r="H45" s="260"/>
      <c r="I45" s="63" t="s">
        <v>667</v>
      </c>
      <c r="J45" s="63"/>
      <c r="K45" s="32" t="s">
        <v>668</v>
      </c>
      <c r="L45" s="217"/>
      <c r="M45" s="218"/>
      <c r="N45" s="98"/>
      <c r="O45" s="132"/>
      <c r="T45" s="120"/>
      <c r="U45" s="148"/>
      <c r="V45" s="146"/>
      <c r="W45" s="150"/>
      <c r="X45" s="150"/>
      <c r="Y45" s="146"/>
      <c r="Z45" s="145"/>
      <c r="AA45" s="145"/>
      <c r="AB45" s="145"/>
      <c r="AC45" s="145"/>
      <c r="AD45" s="145"/>
    </row>
    <row r="46" spans="2:30" ht="15" customHeight="1">
      <c r="B46" s="120"/>
      <c r="C46" s="169"/>
      <c r="D46" s="63" t="s">
        <v>663</v>
      </c>
      <c r="E46" s="39" t="s">
        <v>1306</v>
      </c>
      <c r="F46" s="75"/>
      <c r="G46" s="61"/>
      <c r="H46" s="260"/>
      <c r="I46" s="213" t="s">
        <v>1300</v>
      </c>
      <c r="J46" s="214"/>
      <c r="K46" s="32" t="s">
        <v>672</v>
      </c>
      <c r="L46" s="217"/>
      <c r="M46" s="218"/>
      <c r="N46" s="98"/>
      <c r="O46" s="132"/>
      <c r="T46" s="120"/>
      <c r="U46" s="148"/>
      <c r="V46" s="146"/>
      <c r="W46" s="145"/>
      <c r="X46" s="150"/>
      <c r="Y46" s="146"/>
      <c r="Z46" s="145"/>
      <c r="AA46" s="145"/>
      <c r="AB46" s="145"/>
      <c r="AC46" s="145"/>
      <c r="AD46" s="145"/>
    </row>
    <row r="47" spans="2:30" ht="15" customHeight="1">
      <c r="B47" s="120"/>
      <c r="C47" s="172"/>
      <c r="D47" s="76" t="s">
        <v>1202</v>
      </c>
      <c r="E47" s="40" t="s">
        <v>1290</v>
      </c>
      <c r="F47" s="75"/>
      <c r="G47" s="61"/>
      <c r="H47" s="260"/>
      <c r="I47" s="63" t="s">
        <v>1259</v>
      </c>
      <c r="J47" s="66"/>
      <c r="K47" s="32" t="s">
        <v>671</v>
      </c>
      <c r="L47" s="217"/>
      <c r="M47" s="218"/>
      <c r="N47" s="98"/>
      <c r="O47" s="132"/>
      <c r="T47" s="120"/>
      <c r="U47" s="146"/>
      <c r="V47" s="146"/>
      <c r="W47" s="146"/>
      <c r="X47" s="146"/>
      <c r="Y47" s="146"/>
      <c r="Z47" s="145"/>
      <c r="AA47" s="145"/>
      <c r="AB47" s="145"/>
      <c r="AC47" s="145"/>
      <c r="AD47" s="145"/>
    </row>
    <row r="48" spans="2:30" ht="15" customHeight="1" thickBot="1">
      <c r="B48" s="120"/>
      <c r="C48" s="173"/>
      <c r="D48" s="76" t="s">
        <v>1203</v>
      </c>
      <c r="E48" s="40" t="s">
        <v>1291</v>
      </c>
      <c r="F48" s="75"/>
      <c r="G48" s="61"/>
      <c r="H48" s="260"/>
      <c r="I48" s="63" t="s">
        <v>677</v>
      </c>
      <c r="J48" s="66"/>
      <c r="K48" s="32" t="s">
        <v>1211</v>
      </c>
      <c r="L48" s="265"/>
      <c r="M48" s="266"/>
      <c r="N48" s="98"/>
      <c r="O48" s="132"/>
      <c r="T48" s="120"/>
      <c r="U48" s="146"/>
      <c r="V48" s="146"/>
      <c r="W48" s="146"/>
      <c r="X48" s="146"/>
      <c r="Y48" s="146"/>
      <c r="Z48" s="145"/>
      <c r="AA48" s="145"/>
      <c r="AB48" s="145"/>
      <c r="AC48" s="145"/>
      <c r="AD48" s="145"/>
    </row>
    <row r="49" spans="2:30" ht="15" customHeight="1" thickBot="1">
      <c r="B49" s="120"/>
      <c r="C49" s="173"/>
      <c r="D49" s="63" t="s">
        <v>1197</v>
      </c>
      <c r="E49" s="39" t="s">
        <v>1292</v>
      </c>
      <c r="F49" s="75"/>
      <c r="G49" s="61"/>
      <c r="H49" s="260"/>
      <c r="I49" s="213" t="s">
        <v>1294</v>
      </c>
      <c r="J49" s="214"/>
      <c r="K49" s="32" t="s">
        <v>1281</v>
      </c>
      <c r="L49" s="208"/>
      <c r="M49" s="209"/>
      <c r="N49" s="98"/>
      <c r="O49" s="132"/>
      <c r="T49" s="120"/>
      <c r="U49" s="146"/>
      <c r="V49" s="146"/>
      <c r="W49" s="146"/>
      <c r="X49" s="146"/>
      <c r="Y49" s="146"/>
      <c r="Z49" s="145"/>
      <c r="AA49" s="145"/>
      <c r="AB49" s="145"/>
      <c r="AC49" s="145"/>
      <c r="AD49" s="145"/>
    </row>
    <row r="50" spans="2:30" ht="15" customHeight="1" thickBot="1">
      <c r="B50" s="120"/>
      <c r="C50" s="173"/>
      <c r="D50" s="63" t="s">
        <v>627</v>
      </c>
      <c r="E50" s="36" t="s">
        <v>628</v>
      </c>
      <c r="F50" s="71"/>
      <c r="G50" s="61"/>
      <c r="H50" s="260"/>
      <c r="I50" s="213" t="s">
        <v>1295</v>
      </c>
      <c r="J50" s="214"/>
      <c r="K50" s="32" t="s">
        <v>1282</v>
      </c>
      <c r="L50" s="219"/>
      <c r="M50" s="220"/>
      <c r="N50" s="98"/>
      <c r="O50" s="132"/>
      <c r="T50" s="120"/>
      <c r="U50" s="146"/>
      <c r="V50" s="146"/>
      <c r="W50" s="146"/>
      <c r="X50" s="146"/>
      <c r="Y50" s="146"/>
      <c r="Z50" s="145"/>
      <c r="AA50" s="145"/>
      <c r="AB50" s="145"/>
      <c r="AC50" s="145"/>
      <c r="AD50" s="145"/>
    </row>
    <row r="51" spans="2:30" ht="15" customHeight="1" thickBot="1">
      <c r="B51" s="120"/>
      <c r="C51" s="173"/>
      <c r="D51" s="69" t="s">
        <v>631</v>
      </c>
      <c r="E51" s="32" t="s">
        <v>632</v>
      </c>
      <c r="F51" s="116"/>
      <c r="G51" s="77"/>
      <c r="H51" s="260"/>
      <c r="I51" s="262" t="s">
        <v>682</v>
      </c>
      <c r="J51" s="262"/>
      <c r="K51" s="32" t="s">
        <v>683</v>
      </c>
      <c r="L51" s="208"/>
      <c r="M51" s="209"/>
      <c r="N51" s="98"/>
      <c r="O51" s="132"/>
      <c r="T51" s="120"/>
      <c r="U51" s="146"/>
      <c r="V51" s="146"/>
      <c r="W51" s="146"/>
      <c r="X51" s="146"/>
      <c r="Y51" s="146"/>
      <c r="Z51" s="145"/>
      <c r="AA51" s="145"/>
      <c r="AB51" s="145"/>
      <c r="AC51" s="145"/>
      <c r="AD51" s="145"/>
    </row>
    <row r="52" spans="2:30" ht="5.25" customHeight="1">
      <c r="B52" s="120"/>
      <c r="C52" s="174"/>
      <c r="D52" s="273"/>
      <c r="E52" s="273"/>
      <c r="F52" s="274"/>
      <c r="G52" s="274"/>
      <c r="H52" s="260"/>
      <c r="I52" s="269"/>
      <c r="J52" s="269"/>
      <c r="K52" s="269"/>
      <c r="L52" s="270"/>
      <c r="M52" s="270"/>
      <c r="N52" s="98"/>
      <c r="O52" s="132"/>
      <c r="T52" s="120"/>
      <c r="U52" s="146"/>
      <c r="V52" s="146"/>
      <c r="W52" s="146"/>
      <c r="X52" s="146"/>
      <c r="Y52" s="146"/>
      <c r="Z52" s="145"/>
      <c r="AA52" s="145"/>
      <c r="AB52" s="145"/>
      <c r="AC52" s="145"/>
      <c r="AD52" s="145"/>
    </row>
    <row r="53" spans="2:30" ht="15" customHeight="1" thickBot="1">
      <c r="B53" s="120"/>
      <c r="C53" s="175"/>
      <c r="D53" s="267" t="s">
        <v>684</v>
      </c>
      <c r="E53" s="267"/>
      <c r="F53" s="13" t="s">
        <v>685</v>
      </c>
      <c r="G53" s="59" t="s">
        <v>670</v>
      </c>
      <c r="H53" s="268" t="s">
        <v>686</v>
      </c>
      <c r="I53" s="268"/>
      <c r="J53" s="78"/>
      <c r="K53" s="79"/>
      <c r="L53" s="79"/>
      <c r="M53" s="80"/>
      <c r="N53" s="98"/>
      <c r="O53" s="132"/>
      <c r="T53" s="120"/>
      <c r="U53" s="146"/>
      <c r="V53" s="146"/>
      <c r="W53" s="146"/>
      <c r="X53" s="146"/>
      <c r="Y53" s="146"/>
      <c r="Z53" s="145"/>
      <c r="AA53" s="145"/>
      <c r="AB53" s="145"/>
      <c r="AC53" s="145"/>
      <c r="AD53" s="145"/>
    </row>
    <row r="54" spans="2:30" ht="15" customHeight="1" thickBot="1">
      <c r="B54" s="120"/>
      <c r="C54" s="175"/>
      <c r="D54" s="76" t="s">
        <v>687</v>
      </c>
      <c r="E54" s="36" t="s">
        <v>688</v>
      </c>
      <c r="F54" s="81"/>
      <c r="G54" s="116"/>
      <c r="H54" s="208"/>
      <c r="I54" s="209"/>
      <c r="J54" s="82"/>
      <c r="K54" s="79"/>
      <c r="L54" s="80"/>
      <c r="M54" s="80"/>
      <c r="N54" s="98"/>
      <c r="O54" s="132"/>
      <c r="T54" s="120"/>
      <c r="U54" s="146"/>
      <c r="V54" s="146"/>
      <c r="W54" s="146"/>
      <c r="X54" s="146"/>
      <c r="Y54" s="146"/>
      <c r="Z54" s="145"/>
      <c r="AA54" s="145"/>
      <c r="AB54" s="145"/>
      <c r="AC54" s="145"/>
      <c r="AD54" s="145"/>
    </row>
    <row r="55" spans="2:15" ht="15" customHeight="1">
      <c r="B55" s="120"/>
      <c r="C55" s="175"/>
      <c r="D55" s="76" t="s">
        <v>689</v>
      </c>
      <c r="E55" s="36" t="s">
        <v>690</v>
      </c>
      <c r="F55" s="75"/>
      <c r="G55" s="68"/>
      <c r="H55" s="61"/>
      <c r="I55" s="61"/>
      <c r="J55" s="79"/>
      <c r="K55" s="61"/>
      <c r="L55" s="83"/>
      <c r="M55" s="83"/>
      <c r="N55" s="98"/>
      <c r="O55" s="132"/>
    </row>
    <row r="56" spans="2:20" ht="15" customHeight="1" thickBot="1">
      <c r="B56" s="120"/>
      <c r="C56" s="175"/>
      <c r="D56" s="76" t="s">
        <v>691</v>
      </c>
      <c r="E56" s="36" t="s">
        <v>692</v>
      </c>
      <c r="F56" s="75"/>
      <c r="G56" s="75"/>
      <c r="H56" s="141"/>
      <c r="I56" s="83"/>
      <c r="J56" s="83"/>
      <c r="K56" s="83"/>
      <c r="L56" s="83"/>
      <c r="M56" s="83"/>
      <c r="N56" s="98"/>
      <c r="O56" s="132"/>
      <c r="Q56" s="120"/>
      <c r="T56" s="120"/>
    </row>
    <row r="57" spans="2:20" ht="15" customHeight="1" thickBot="1">
      <c r="B57" s="120"/>
      <c r="C57" s="175"/>
      <c r="D57" s="124" t="s">
        <v>693</v>
      </c>
      <c r="E57" s="43" t="s">
        <v>1269</v>
      </c>
      <c r="F57" s="75"/>
      <c r="G57" s="81"/>
      <c r="H57" s="208"/>
      <c r="I57" s="209"/>
      <c r="J57" s="83"/>
      <c r="K57" s="83"/>
      <c r="L57" s="83"/>
      <c r="M57" s="83"/>
      <c r="N57" s="98"/>
      <c r="O57" s="132"/>
      <c r="Q57" s="120"/>
      <c r="T57" s="120"/>
    </row>
    <row r="58" spans="2:22" ht="15" customHeight="1" thickBot="1">
      <c r="B58" s="120"/>
      <c r="C58" s="175"/>
      <c r="D58" s="124" t="s">
        <v>694</v>
      </c>
      <c r="E58" s="43" t="s">
        <v>695</v>
      </c>
      <c r="F58" s="75"/>
      <c r="G58" s="81"/>
      <c r="H58" s="208"/>
      <c r="I58" s="209"/>
      <c r="J58" s="83"/>
      <c r="K58" s="83"/>
      <c r="L58" s="83"/>
      <c r="M58" s="83"/>
      <c r="N58" s="98"/>
      <c r="O58" s="132"/>
      <c r="Q58" s="120"/>
      <c r="T58" s="120"/>
      <c r="U58" s="132"/>
      <c r="V58" s="132"/>
    </row>
    <row r="59" spans="2:22" ht="15" customHeight="1">
      <c r="B59" s="120"/>
      <c r="C59" s="175"/>
      <c r="D59" s="124" t="s">
        <v>1322</v>
      </c>
      <c r="E59" s="43" t="s">
        <v>1323</v>
      </c>
      <c r="F59" s="75"/>
      <c r="G59" s="75"/>
      <c r="H59" s="79"/>
      <c r="I59" s="79"/>
      <c r="J59" s="79"/>
      <c r="K59" s="125"/>
      <c r="L59" s="83"/>
      <c r="M59" s="83"/>
      <c r="N59" s="98"/>
      <c r="O59" s="132"/>
      <c r="Q59" s="120"/>
      <c r="T59" s="120"/>
      <c r="U59" s="132"/>
      <c r="V59" s="132"/>
    </row>
    <row r="60" spans="2:22" ht="15" customHeight="1">
      <c r="B60" s="120"/>
      <c r="C60" s="175"/>
      <c r="D60" s="76" t="s">
        <v>1324</v>
      </c>
      <c r="E60" s="43" t="s">
        <v>1325</v>
      </c>
      <c r="F60" s="75"/>
      <c r="G60" s="75"/>
      <c r="H60" s="79"/>
      <c r="I60" s="79"/>
      <c r="J60" s="79"/>
      <c r="K60" s="125"/>
      <c r="L60" s="83"/>
      <c r="M60" s="83"/>
      <c r="N60" s="98"/>
      <c r="O60" s="132"/>
      <c r="Q60" s="132"/>
      <c r="T60" s="132"/>
      <c r="U60" s="132"/>
      <c r="V60" s="132"/>
    </row>
    <row r="61" spans="2:22" ht="15" customHeight="1" thickBot="1">
      <c r="B61" s="120"/>
      <c r="C61" s="175"/>
      <c r="D61" s="76" t="s">
        <v>1326</v>
      </c>
      <c r="E61" s="43" t="s">
        <v>1327</v>
      </c>
      <c r="F61" s="75"/>
      <c r="G61" s="123"/>
      <c r="H61" s="79"/>
      <c r="I61" s="79"/>
      <c r="J61" s="79"/>
      <c r="K61" s="125"/>
      <c r="L61" s="83"/>
      <c r="M61" s="83"/>
      <c r="N61" s="98"/>
      <c r="O61" s="132"/>
      <c r="Q61" s="132"/>
      <c r="T61" s="132"/>
      <c r="U61" s="132"/>
      <c r="V61" s="132"/>
    </row>
    <row r="62" spans="2:22" ht="15" customHeight="1" thickBot="1">
      <c r="B62" s="120"/>
      <c r="C62" s="175"/>
      <c r="D62" s="124" t="s">
        <v>696</v>
      </c>
      <c r="E62" s="43" t="s">
        <v>697</v>
      </c>
      <c r="F62" s="81"/>
      <c r="G62" s="104"/>
      <c r="H62" s="208"/>
      <c r="I62" s="209"/>
      <c r="J62" s="140"/>
      <c r="K62" s="140"/>
      <c r="L62" s="140"/>
      <c r="M62" s="140"/>
      <c r="N62" s="98"/>
      <c r="O62" s="132"/>
      <c r="Q62" s="132"/>
      <c r="T62" s="132"/>
      <c r="U62" s="132"/>
      <c r="V62" s="132"/>
    </row>
    <row r="63" spans="2:22" ht="15" customHeight="1" thickBot="1">
      <c r="B63" s="120"/>
      <c r="C63" s="176"/>
      <c r="D63" s="124" t="s">
        <v>1317</v>
      </c>
      <c r="E63" s="43" t="s">
        <v>1318</v>
      </c>
      <c r="F63" s="81"/>
      <c r="G63" s="81"/>
      <c r="H63" s="208"/>
      <c r="I63" s="209"/>
      <c r="J63" s="79"/>
      <c r="K63" s="79"/>
      <c r="L63" s="79"/>
      <c r="M63" s="79"/>
      <c r="N63" s="98"/>
      <c r="O63" s="132"/>
      <c r="Q63" s="132"/>
      <c r="T63" s="132"/>
      <c r="U63" s="132"/>
      <c r="V63" s="132"/>
    </row>
    <row r="64" spans="2:22" ht="15" customHeight="1" thickBot="1">
      <c r="B64" s="120"/>
      <c r="C64" s="175"/>
      <c r="D64" s="124" t="s">
        <v>1328</v>
      </c>
      <c r="E64" s="43" t="s">
        <v>698</v>
      </c>
      <c r="F64" s="81"/>
      <c r="G64" s="75"/>
      <c r="H64" s="208"/>
      <c r="I64" s="209"/>
      <c r="J64" s="79"/>
      <c r="K64" s="79"/>
      <c r="L64" s="79"/>
      <c r="M64" s="79"/>
      <c r="N64" s="98"/>
      <c r="O64" s="132"/>
      <c r="Q64" s="132"/>
      <c r="T64" s="132"/>
      <c r="U64" s="132"/>
      <c r="V64" s="132"/>
    </row>
    <row r="65" spans="2:22" ht="15" customHeight="1" thickBot="1">
      <c r="B65" s="120"/>
      <c r="C65" s="177"/>
      <c r="D65" s="124" t="s">
        <v>1329</v>
      </c>
      <c r="E65" s="43" t="s">
        <v>699</v>
      </c>
      <c r="F65" s="81"/>
      <c r="G65" s="75"/>
      <c r="H65" s="79"/>
      <c r="I65" s="79"/>
      <c r="J65" s="107"/>
      <c r="K65" s="107"/>
      <c r="L65" s="107"/>
      <c r="M65" s="107"/>
      <c r="N65" s="98"/>
      <c r="O65" s="132"/>
      <c r="Q65" s="132"/>
      <c r="T65" s="132"/>
      <c r="U65" s="132"/>
      <c r="V65" s="132"/>
    </row>
    <row r="66" spans="2:22" ht="15" customHeight="1" thickBot="1">
      <c r="B66" s="120"/>
      <c r="C66" s="174"/>
      <c r="D66" s="66" t="s">
        <v>1330</v>
      </c>
      <c r="E66" s="73" t="s">
        <v>1331</v>
      </c>
      <c r="F66" s="161"/>
      <c r="G66" s="161"/>
      <c r="H66" s="208"/>
      <c r="I66" s="209"/>
      <c r="J66" s="105"/>
      <c r="K66" s="105"/>
      <c r="L66" s="105"/>
      <c r="M66" s="105"/>
      <c r="N66" s="98"/>
      <c r="O66" s="132"/>
      <c r="Q66" s="132"/>
      <c r="T66" s="257"/>
      <c r="U66" s="257"/>
      <c r="V66" s="132"/>
    </row>
    <row r="67" spans="2:22" ht="5.25" customHeight="1">
      <c r="B67" s="120"/>
      <c r="C67" s="174"/>
      <c r="D67" s="108"/>
      <c r="E67" s="79"/>
      <c r="F67" s="106"/>
      <c r="G67" s="106"/>
      <c r="H67" s="108"/>
      <c r="I67" s="79"/>
      <c r="J67" s="105"/>
      <c r="K67" s="105"/>
      <c r="L67" s="105"/>
      <c r="M67" s="105"/>
      <c r="N67" s="98"/>
      <c r="O67" s="132"/>
      <c r="Q67" s="132"/>
      <c r="T67" s="11"/>
      <c r="U67" s="11"/>
      <c r="V67" s="132"/>
    </row>
    <row r="68" spans="2:22" ht="15" customHeight="1" thickBot="1">
      <c r="B68" s="120"/>
      <c r="C68" s="174"/>
      <c r="D68" s="271" t="s">
        <v>700</v>
      </c>
      <c r="E68" s="272"/>
      <c r="F68" s="13" t="s">
        <v>701</v>
      </c>
      <c r="G68" s="13" t="s">
        <v>702</v>
      </c>
      <c r="H68" s="275" t="s">
        <v>703</v>
      </c>
      <c r="I68" s="276"/>
      <c r="J68" s="105"/>
      <c r="K68" s="105"/>
      <c r="L68" s="105"/>
      <c r="M68" s="105"/>
      <c r="N68" s="98"/>
      <c r="O68" s="132"/>
      <c r="Q68" s="132"/>
      <c r="T68" s="132"/>
      <c r="U68" s="132"/>
      <c r="V68" s="132"/>
    </row>
    <row r="69" spans="2:22" ht="15" customHeight="1" thickBot="1">
      <c r="B69" s="120"/>
      <c r="C69" s="174"/>
      <c r="D69" s="109" t="s">
        <v>704</v>
      </c>
      <c r="E69" s="110" t="s">
        <v>705</v>
      </c>
      <c r="F69" s="85"/>
      <c r="G69" s="81"/>
      <c r="H69" s="208"/>
      <c r="I69" s="209"/>
      <c r="J69" s="105"/>
      <c r="K69" s="105"/>
      <c r="L69" s="105"/>
      <c r="M69" s="105"/>
      <c r="N69" s="98"/>
      <c r="O69" s="132"/>
      <c r="Q69" s="132"/>
      <c r="T69" s="132"/>
      <c r="U69" s="132"/>
      <c r="V69" s="132"/>
    </row>
    <row r="70" spans="2:22" ht="15" customHeight="1" thickBot="1">
      <c r="B70" s="120"/>
      <c r="C70" s="174"/>
      <c r="D70" s="111" t="s">
        <v>1284</v>
      </c>
      <c r="E70" s="112" t="s">
        <v>1283</v>
      </c>
      <c r="F70" s="93"/>
      <c r="G70" s="84"/>
      <c r="H70" s="208"/>
      <c r="I70" s="209"/>
      <c r="J70" s="105"/>
      <c r="K70" s="105"/>
      <c r="L70" s="105"/>
      <c r="M70" s="105"/>
      <c r="N70" s="98"/>
      <c r="O70" s="132"/>
      <c r="Q70" s="132"/>
      <c r="T70" s="132"/>
      <c r="U70" s="132"/>
      <c r="V70" s="132"/>
    </row>
    <row r="71" spans="2:15" ht="15" customHeight="1" thickBot="1">
      <c r="B71" s="120"/>
      <c r="C71" s="174"/>
      <c r="D71" s="111" t="s">
        <v>706</v>
      </c>
      <c r="E71" s="115" t="s">
        <v>707</v>
      </c>
      <c r="F71" s="116"/>
      <c r="G71" s="116"/>
      <c r="H71" s="208"/>
      <c r="I71" s="209"/>
      <c r="J71" s="105"/>
      <c r="K71" s="105"/>
      <c r="L71" s="105"/>
      <c r="M71" s="105"/>
      <c r="N71" s="98"/>
      <c r="O71" s="132"/>
    </row>
    <row r="72" spans="2:15" s="130" customFormat="1" ht="15" customHeight="1">
      <c r="B72" s="120"/>
      <c r="C72" s="172"/>
      <c r="D72" s="113" t="s">
        <v>708</v>
      </c>
      <c r="E72" s="114" t="s">
        <v>709</v>
      </c>
      <c r="F72" s="99"/>
      <c r="G72" s="68"/>
      <c r="H72" s="288"/>
      <c r="I72" s="289"/>
      <c r="J72" s="107"/>
      <c r="K72" s="107"/>
      <c r="L72" s="107"/>
      <c r="M72" s="107"/>
      <c r="N72" s="98"/>
      <c r="O72" s="120"/>
    </row>
    <row r="73" spans="2:15" ht="15" customHeight="1">
      <c r="B73" s="120"/>
      <c r="C73" s="171"/>
      <c r="D73" s="113" t="s">
        <v>710</v>
      </c>
      <c r="E73" s="114" t="s">
        <v>711</v>
      </c>
      <c r="F73" s="85"/>
      <c r="G73" s="75"/>
      <c r="H73" s="210"/>
      <c r="I73" s="211"/>
      <c r="J73" s="79"/>
      <c r="K73" s="125"/>
      <c r="L73" s="125"/>
      <c r="M73" s="125"/>
      <c r="N73" s="98"/>
      <c r="O73" s="132"/>
    </row>
    <row r="74" spans="2:15" ht="5.25" customHeight="1">
      <c r="B74" s="120"/>
      <c r="C74" s="172"/>
      <c r="D74" s="129"/>
      <c r="E74" s="79"/>
      <c r="F74" s="106"/>
      <c r="G74" s="106"/>
      <c r="H74" s="79"/>
      <c r="I74" s="79"/>
      <c r="J74" s="125"/>
      <c r="K74" s="125"/>
      <c r="L74" s="125"/>
      <c r="M74" s="125"/>
      <c r="N74" s="98"/>
      <c r="O74" s="132"/>
    </row>
    <row r="75" spans="2:15" ht="15" customHeight="1" thickBot="1">
      <c r="B75" s="120"/>
      <c r="C75" s="171"/>
      <c r="D75" s="204" t="s">
        <v>712</v>
      </c>
      <c r="E75" s="205"/>
      <c r="F75" s="13" t="s">
        <v>713</v>
      </c>
      <c r="G75" s="59" t="s">
        <v>714</v>
      </c>
      <c r="H75" s="275" t="s">
        <v>702</v>
      </c>
      <c r="I75" s="302"/>
      <c r="J75" s="125"/>
      <c r="K75" s="125"/>
      <c r="L75" s="125"/>
      <c r="M75" s="125"/>
      <c r="N75" s="98"/>
      <c r="O75" s="132"/>
    </row>
    <row r="76" spans="2:15" ht="15" customHeight="1" thickBot="1">
      <c r="B76" s="120"/>
      <c r="C76" s="171"/>
      <c r="D76" s="63" t="s">
        <v>715</v>
      </c>
      <c r="E76" s="36" t="s">
        <v>1212</v>
      </c>
      <c r="F76" s="81"/>
      <c r="G76" s="116"/>
      <c r="H76" s="208"/>
      <c r="I76" s="209"/>
      <c r="J76" s="125"/>
      <c r="K76" s="125"/>
      <c r="L76" s="125"/>
      <c r="M76" s="125"/>
      <c r="N76" s="98"/>
      <c r="O76" s="132"/>
    </row>
    <row r="77" spans="2:15" ht="15" customHeight="1" thickBot="1">
      <c r="B77" s="120"/>
      <c r="C77" s="171"/>
      <c r="D77" s="63" t="s">
        <v>1250</v>
      </c>
      <c r="E77" s="36" t="s">
        <v>1226</v>
      </c>
      <c r="F77" s="81"/>
      <c r="G77" s="116"/>
      <c r="H77" s="208"/>
      <c r="I77" s="209"/>
      <c r="J77" s="125"/>
      <c r="K77" s="125"/>
      <c r="L77" s="125"/>
      <c r="M77" s="125"/>
      <c r="N77" s="98"/>
      <c r="O77" s="132"/>
    </row>
    <row r="78" spans="2:15" ht="15" customHeight="1" thickBot="1">
      <c r="B78" s="120"/>
      <c r="C78" s="171"/>
      <c r="D78" s="63" t="s">
        <v>1251</v>
      </c>
      <c r="E78" s="36" t="s">
        <v>1227</v>
      </c>
      <c r="F78" s="81"/>
      <c r="G78" s="116"/>
      <c r="H78" s="208"/>
      <c r="I78" s="209"/>
      <c r="J78" s="125"/>
      <c r="K78" s="125"/>
      <c r="L78" s="125"/>
      <c r="M78" s="125"/>
      <c r="N78" s="98"/>
      <c r="O78" s="132"/>
    </row>
    <row r="79" spans="2:15" ht="15" customHeight="1" thickBot="1">
      <c r="B79" s="120"/>
      <c r="C79" s="171"/>
      <c r="D79" s="63" t="s">
        <v>716</v>
      </c>
      <c r="E79" s="36" t="s">
        <v>1213</v>
      </c>
      <c r="F79" s="81"/>
      <c r="G79" s="116"/>
      <c r="H79" s="208"/>
      <c r="I79" s="209"/>
      <c r="J79" s="139"/>
      <c r="K79" s="139"/>
      <c r="L79" s="139"/>
      <c r="M79" s="139"/>
      <c r="N79" s="98"/>
      <c r="O79" s="132"/>
    </row>
    <row r="80" spans="2:15" ht="15" customHeight="1" thickBot="1">
      <c r="B80" s="120"/>
      <c r="C80" s="171"/>
      <c r="D80" s="63" t="s">
        <v>1204</v>
      </c>
      <c r="E80" s="36" t="s">
        <v>1205</v>
      </c>
      <c r="F80" s="81"/>
      <c r="G80" s="116"/>
      <c r="H80" s="208"/>
      <c r="I80" s="209"/>
      <c r="J80" s="139"/>
      <c r="K80" s="139"/>
      <c r="L80" s="139"/>
      <c r="M80" s="139"/>
      <c r="N80" s="98"/>
      <c r="O80" s="132"/>
    </row>
    <row r="81" spans="2:15" ht="15" customHeight="1" thickBot="1">
      <c r="B81" s="120"/>
      <c r="C81" s="171"/>
      <c r="D81" s="63" t="s">
        <v>717</v>
      </c>
      <c r="E81" s="36" t="s">
        <v>718</v>
      </c>
      <c r="F81" s="81"/>
      <c r="G81" s="116"/>
      <c r="H81" s="208"/>
      <c r="I81" s="209"/>
      <c r="J81" s="79"/>
      <c r="K81" s="125"/>
      <c r="L81" s="125"/>
      <c r="M81" s="125"/>
      <c r="N81" s="98"/>
      <c r="O81" s="132"/>
    </row>
    <row r="82" spans="2:15" ht="15" customHeight="1" thickBot="1">
      <c r="B82" s="120"/>
      <c r="C82" s="171"/>
      <c r="D82" s="63" t="s">
        <v>719</v>
      </c>
      <c r="E82" s="36" t="s">
        <v>720</v>
      </c>
      <c r="F82" s="81"/>
      <c r="G82" s="116"/>
      <c r="H82" s="208"/>
      <c r="I82" s="209"/>
      <c r="J82" s="139"/>
      <c r="K82" s="139"/>
      <c r="L82" s="139"/>
      <c r="M82" s="139"/>
      <c r="N82" s="98"/>
      <c r="O82" s="132"/>
    </row>
    <row r="83" spans="2:15" ht="15" customHeight="1" thickBot="1">
      <c r="B83" s="120"/>
      <c r="C83" s="171"/>
      <c r="D83" s="63" t="s">
        <v>721</v>
      </c>
      <c r="E83" s="36" t="s">
        <v>1214</v>
      </c>
      <c r="F83" s="81"/>
      <c r="G83" s="116"/>
      <c r="H83" s="208"/>
      <c r="I83" s="209"/>
      <c r="J83" s="139"/>
      <c r="K83" s="139"/>
      <c r="L83" s="139"/>
      <c r="M83" s="139"/>
      <c r="N83" s="98"/>
      <c r="O83" s="132"/>
    </row>
    <row r="84" spans="2:15" ht="15" customHeight="1" thickBot="1">
      <c r="B84" s="120"/>
      <c r="C84" s="171"/>
      <c r="D84" s="63" t="s">
        <v>722</v>
      </c>
      <c r="E84" s="36" t="s">
        <v>723</v>
      </c>
      <c r="F84" s="81"/>
      <c r="G84" s="116"/>
      <c r="H84" s="208"/>
      <c r="I84" s="209"/>
      <c r="J84" s="142"/>
      <c r="K84" s="142"/>
      <c r="L84" s="142"/>
      <c r="M84" s="142"/>
      <c r="N84" s="98"/>
      <c r="O84" s="132"/>
    </row>
    <row r="85" spans="2:15" ht="15" customHeight="1" thickBot="1">
      <c r="B85" s="120"/>
      <c r="C85" s="171"/>
      <c r="D85" s="63" t="s">
        <v>724</v>
      </c>
      <c r="E85" s="36" t="s">
        <v>1215</v>
      </c>
      <c r="F85" s="81"/>
      <c r="G85" s="116"/>
      <c r="H85" s="208"/>
      <c r="I85" s="209"/>
      <c r="J85" s="142"/>
      <c r="K85" s="142"/>
      <c r="L85" s="142"/>
      <c r="M85" s="142"/>
      <c r="N85" s="98"/>
      <c r="O85" s="132"/>
    </row>
    <row r="86" spans="2:15" ht="15" customHeight="1" thickBot="1">
      <c r="B86" s="120"/>
      <c r="C86" s="171"/>
      <c r="D86" s="63" t="s">
        <v>726</v>
      </c>
      <c r="E86" s="36" t="s">
        <v>1216</v>
      </c>
      <c r="F86" s="81"/>
      <c r="G86" s="116"/>
      <c r="H86" s="208"/>
      <c r="I86" s="209"/>
      <c r="J86" s="305" t="s">
        <v>2565</v>
      </c>
      <c r="K86" s="306"/>
      <c r="L86" s="306"/>
      <c r="M86" s="306"/>
      <c r="N86" s="98"/>
      <c r="O86" s="132"/>
    </row>
    <row r="87" spans="2:15" ht="9" customHeight="1">
      <c r="B87" s="120"/>
      <c r="C87" s="16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98"/>
      <c r="O87" s="130"/>
    </row>
    <row r="88" spans="2:15" ht="5.25" customHeight="1">
      <c r="B88" s="120"/>
      <c r="C88" s="16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98"/>
      <c r="O88" s="130"/>
    </row>
    <row r="89" spans="2:14" ht="15" customHeight="1" thickBot="1">
      <c r="B89" s="120"/>
      <c r="C89" s="172"/>
      <c r="D89" s="267" t="s">
        <v>730</v>
      </c>
      <c r="E89" s="267"/>
      <c r="F89" s="13" t="s">
        <v>713</v>
      </c>
      <c r="G89" s="59" t="s">
        <v>714</v>
      </c>
      <c r="H89" s="268" t="s">
        <v>702</v>
      </c>
      <c r="I89" s="268"/>
      <c r="J89" s="107"/>
      <c r="K89" s="107"/>
      <c r="L89" s="107"/>
      <c r="M89" s="107"/>
      <c r="N89" s="98"/>
    </row>
    <row r="90" spans="2:14" ht="15" customHeight="1" thickBot="1">
      <c r="B90" s="120"/>
      <c r="C90" s="172"/>
      <c r="D90" s="63" t="s">
        <v>727</v>
      </c>
      <c r="E90" s="36" t="s">
        <v>1217</v>
      </c>
      <c r="F90" s="81"/>
      <c r="G90" s="116"/>
      <c r="H90" s="208"/>
      <c r="I90" s="209"/>
      <c r="J90" s="107"/>
      <c r="K90" s="41" t="s">
        <v>1321</v>
      </c>
      <c r="L90" s="303">
        <f>+wcode1</f>
        <v>0</v>
      </c>
      <c r="M90" s="304"/>
      <c r="N90" s="98"/>
    </row>
    <row r="91" spans="2:14" ht="15" customHeight="1" thickBot="1">
      <c r="B91" s="120"/>
      <c r="C91" s="172"/>
      <c r="D91" s="63" t="s">
        <v>728</v>
      </c>
      <c r="E91" s="36" t="s">
        <v>1218</v>
      </c>
      <c r="F91" s="81"/>
      <c r="G91" s="116"/>
      <c r="H91" s="208"/>
      <c r="I91" s="209"/>
      <c r="J91" s="82"/>
      <c r="K91" s="56" t="s">
        <v>1404</v>
      </c>
      <c r="L91" s="303">
        <f>+Loop_traject</f>
        <v>0</v>
      </c>
      <c r="M91" s="304"/>
      <c r="N91" s="98"/>
    </row>
    <row r="92" spans="2:14" ht="15" customHeight="1" thickBot="1">
      <c r="B92" s="120"/>
      <c r="C92" s="172"/>
      <c r="D92" s="63" t="s">
        <v>729</v>
      </c>
      <c r="E92" s="36" t="s">
        <v>1219</v>
      </c>
      <c r="F92" s="81"/>
      <c r="G92" s="116"/>
      <c r="H92" s="208"/>
      <c r="I92" s="209"/>
      <c r="J92" s="122"/>
      <c r="K92" s="56" t="s">
        <v>1189</v>
      </c>
      <c r="L92" s="307">
        <f>+datum</f>
        <v>0</v>
      </c>
      <c r="M92" s="308"/>
      <c r="N92" s="98"/>
    </row>
    <row r="93" spans="2:14" ht="15" customHeight="1" thickBot="1">
      <c r="B93" s="120"/>
      <c r="C93" s="172"/>
      <c r="D93" s="63" t="s">
        <v>1301</v>
      </c>
      <c r="E93" s="36" t="s">
        <v>1220</v>
      </c>
      <c r="F93" s="81"/>
      <c r="G93" s="116"/>
      <c r="H93" s="208"/>
      <c r="I93" s="209"/>
      <c r="J93" s="122"/>
      <c r="K93" s="56" t="s">
        <v>1320</v>
      </c>
      <c r="L93" s="329">
        <f>+Aant_formulieren</f>
        <v>0</v>
      </c>
      <c r="M93" s="330"/>
      <c r="N93" s="98"/>
    </row>
    <row r="94" spans="2:14" ht="15" customHeight="1" thickBot="1">
      <c r="B94" s="120"/>
      <c r="C94" s="172"/>
      <c r="D94" s="86" t="s">
        <v>1206</v>
      </c>
      <c r="E94" s="87" t="s">
        <v>1207</v>
      </c>
      <c r="F94" s="88"/>
      <c r="G94" s="116"/>
      <c r="H94" s="208"/>
      <c r="I94" s="209"/>
      <c r="J94" s="122"/>
      <c r="K94" s="122"/>
      <c r="L94" s="122"/>
      <c r="M94" s="122"/>
      <c r="N94" s="98"/>
    </row>
    <row r="95" spans="2:14" ht="15" customHeight="1" thickBot="1">
      <c r="B95" s="120"/>
      <c r="C95" s="172"/>
      <c r="D95" s="86" t="s">
        <v>731</v>
      </c>
      <c r="E95" s="87" t="s">
        <v>732</v>
      </c>
      <c r="F95" s="88"/>
      <c r="G95" s="116"/>
      <c r="H95" s="208"/>
      <c r="I95" s="209"/>
      <c r="J95" s="24"/>
      <c r="K95" s="24"/>
      <c r="L95" s="24"/>
      <c r="M95" s="24"/>
      <c r="N95" s="98"/>
    </row>
    <row r="96" spans="2:14" ht="15" customHeight="1" thickBot="1">
      <c r="B96" s="120"/>
      <c r="C96" s="172"/>
      <c r="D96" s="63" t="s">
        <v>733</v>
      </c>
      <c r="E96" s="36" t="s">
        <v>734</v>
      </c>
      <c r="F96" s="88"/>
      <c r="G96" s="116"/>
      <c r="H96" s="208"/>
      <c r="I96" s="209"/>
      <c r="J96" s="83"/>
      <c r="K96" s="83"/>
      <c r="L96" s="83"/>
      <c r="M96" s="83"/>
      <c r="N96" s="98"/>
    </row>
    <row r="97" spans="2:14" ht="15" customHeight="1" thickBot="1">
      <c r="B97" s="120"/>
      <c r="C97" s="172"/>
      <c r="D97" s="63" t="s">
        <v>735</v>
      </c>
      <c r="E97" s="36" t="s">
        <v>1221</v>
      </c>
      <c r="F97" s="88"/>
      <c r="G97" s="116"/>
      <c r="H97" s="208"/>
      <c r="I97" s="209"/>
      <c r="J97" s="83"/>
      <c r="K97" s="83"/>
      <c r="L97" s="83"/>
      <c r="M97" s="83"/>
      <c r="N97" s="98"/>
    </row>
    <row r="98" spans="2:14" ht="15" customHeight="1" thickBot="1">
      <c r="B98" s="120"/>
      <c r="C98" s="172"/>
      <c r="D98" s="63" t="s">
        <v>736</v>
      </c>
      <c r="E98" s="36" t="s">
        <v>737</v>
      </c>
      <c r="F98" s="88"/>
      <c r="G98" s="116"/>
      <c r="H98" s="208"/>
      <c r="I98" s="209"/>
      <c r="J98" s="83"/>
      <c r="K98" s="83"/>
      <c r="L98" s="83"/>
      <c r="M98" s="83"/>
      <c r="N98" s="98"/>
    </row>
    <row r="99" spans="2:14" ht="15" customHeight="1" thickBot="1">
      <c r="B99" s="120"/>
      <c r="C99" s="172"/>
      <c r="D99" s="63" t="s">
        <v>738</v>
      </c>
      <c r="E99" s="36" t="s">
        <v>1255</v>
      </c>
      <c r="F99" s="88"/>
      <c r="G99" s="116"/>
      <c r="H99" s="208"/>
      <c r="I99" s="209"/>
      <c r="J99" s="83"/>
      <c r="K99" s="83"/>
      <c r="L99" s="83"/>
      <c r="M99" s="83"/>
      <c r="N99" s="98"/>
    </row>
    <row r="100" spans="2:14" ht="15" customHeight="1" thickBot="1">
      <c r="B100" s="120"/>
      <c r="C100" s="172"/>
      <c r="D100" s="63" t="s">
        <v>739</v>
      </c>
      <c r="E100" s="36" t="s">
        <v>740</v>
      </c>
      <c r="F100" s="88"/>
      <c r="G100" s="116"/>
      <c r="H100" s="208"/>
      <c r="I100" s="209"/>
      <c r="J100" s="79"/>
      <c r="K100" s="125"/>
      <c r="L100" s="125"/>
      <c r="M100" s="80"/>
      <c r="N100" s="98"/>
    </row>
    <row r="101" spans="2:14" ht="15" customHeight="1" thickBot="1">
      <c r="B101" s="120"/>
      <c r="C101" s="172"/>
      <c r="D101" s="63" t="s">
        <v>741</v>
      </c>
      <c r="E101" s="36" t="s">
        <v>1277</v>
      </c>
      <c r="F101" s="88"/>
      <c r="G101" s="116"/>
      <c r="H101" s="208"/>
      <c r="I101" s="209"/>
      <c r="J101" s="79"/>
      <c r="K101" s="125"/>
      <c r="L101" s="125"/>
      <c r="M101" s="80"/>
      <c r="N101" s="98"/>
    </row>
    <row r="102" spans="2:14" ht="15" customHeight="1" thickBot="1">
      <c r="B102" s="120"/>
      <c r="C102" s="172"/>
      <c r="D102" s="63" t="s">
        <v>742</v>
      </c>
      <c r="E102" s="36" t="s">
        <v>1222</v>
      </c>
      <c r="F102" s="88"/>
      <c r="G102" s="116"/>
      <c r="H102" s="208"/>
      <c r="I102" s="209"/>
      <c r="J102" s="24"/>
      <c r="K102" s="24"/>
      <c r="L102" s="24"/>
      <c r="M102" s="24"/>
      <c r="N102" s="98"/>
    </row>
    <row r="103" spans="2:14" ht="15" customHeight="1" thickBot="1">
      <c r="B103" s="120"/>
      <c r="C103" s="172"/>
      <c r="D103" s="63" t="s">
        <v>743</v>
      </c>
      <c r="E103" s="36" t="s">
        <v>1223</v>
      </c>
      <c r="F103" s="88"/>
      <c r="G103" s="116"/>
      <c r="H103" s="208"/>
      <c r="I103" s="209"/>
      <c r="J103" s="24"/>
      <c r="K103" s="24"/>
      <c r="L103" s="24"/>
      <c r="M103" s="24"/>
      <c r="N103" s="98"/>
    </row>
    <row r="104" spans="2:14" ht="15" customHeight="1" thickBot="1">
      <c r="B104" s="120"/>
      <c r="C104" s="172"/>
      <c r="D104" s="63" t="s">
        <v>744</v>
      </c>
      <c r="E104" s="36" t="s">
        <v>1224</v>
      </c>
      <c r="F104" s="88"/>
      <c r="G104" s="116"/>
      <c r="H104" s="208"/>
      <c r="I104" s="209"/>
      <c r="J104" s="24"/>
      <c r="K104" s="24"/>
      <c r="L104" s="24"/>
      <c r="M104" s="24"/>
      <c r="N104" s="98"/>
    </row>
    <row r="105" spans="2:14" ht="15" customHeight="1" thickBot="1">
      <c r="B105" s="120"/>
      <c r="C105" s="172"/>
      <c r="D105" s="63" t="s">
        <v>745</v>
      </c>
      <c r="E105" s="36" t="s">
        <v>1225</v>
      </c>
      <c r="F105" s="88"/>
      <c r="G105" s="116"/>
      <c r="H105" s="208"/>
      <c r="I105" s="209"/>
      <c r="J105" s="24"/>
      <c r="K105" s="24"/>
      <c r="L105" s="24"/>
      <c r="M105" s="24"/>
      <c r="N105" s="98"/>
    </row>
    <row r="106" spans="2:14" ht="15" customHeight="1" thickBot="1">
      <c r="B106" s="120"/>
      <c r="C106" s="172"/>
      <c r="D106" s="63" t="s">
        <v>746</v>
      </c>
      <c r="E106" s="36" t="s">
        <v>747</v>
      </c>
      <c r="F106" s="88"/>
      <c r="G106" s="116"/>
      <c r="H106" s="208"/>
      <c r="I106" s="209"/>
      <c r="J106" s="125"/>
      <c r="K106" s="125"/>
      <c r="L106" s="125"/>
      <c r="M106" s="125"/>
      <c r="N106" s="98"/>
    </row>
    <row r="107" spans="2:17" ht="15" customHeight="1" thickBot="1">
      <c r="B107" s="120"/>
      <c r="C107" s="172"/>
      <c r="D107" s="63" t="s">
        <v>748</v>
      </c>
      <c r="E107" s="36" t="s">
        <v>1228</v>
      </c>
      <c r="F107" s="88"/>
      <c r="G107" s="116"/>
      <c r="H107" s="208"/>
      <c r="I107" s="209"/>
      <c r="J107" s="125"/>
      <c r="K107" s="125"/>
      <c r="L107" s="125"/>
      <c r="M107" s="125"/>
      <c r="N107" s="98"/>
      <c r="Q107" s="132"/>
    </row>
    <row r="108" spans="2:17" ht="5.25" customHeight="1">
      <c r="B108" s="120"/>
      <c r="C108" s="172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98"/>
      <c r="Q108" s="135"/>
    </row>
    <row r="109" spans="2:17" ht="15" customHeight="1">
      <c r="B109" s="120"/>
      <c r="C109" s="178"/>
      <c r="D109" s="267" t="s">
        <v>1270</v>
      </c>
      <c r="E109" s="267"/>
      <c r="F109" s="89" t="s">
        <v>1249</v>
      </c>
      <c r="G109" s="118"/>
      <c r="H109" s="29"/>
      <c r="I109" s="267" t="s">
        <v>1271</v>
      </c>
      <c r="J109" s="267"/>
      <c r="K109" s="267"/>
      <c r="L109" s="267" t="s">
        <v>1249</v>
      </c>
      <c r="M109" s="267"/>
      <c r="N109" s="98"/>
      <c r="Q109" s="136"/>
    </row>
    <row r="110" spans="2:17" ht="15" customHeight="1">
      <c r="B110" s="120"/>
      <c r="C110" s="179"/>
      <c r="D110" s="63" t="s">
        <v>1262</v>
      </c>
      <c r="E110" s="36" t="s">
        <v>1256</v>
      </c>
      <c r="F110" s="88"/>
      <c r="G110" s="118"/>
      <c r="H110" s="29"/>
      <c r="I110" s="213" t="s">
        <v>756</v>
      </c>
      <c r="J110" s="214"/>
      <c r="K110" s="36" t="s">
        <v>757</v>
      </c>
      <c r="L110" s="210"/>
      <c r="M110" s="211"/>
      <c r="N110" s="98"/>
      <c r="Q110" s="137"/>
    </row>
    <row r="111" spans="2:14" ht="15" customHeight="1" thickBot="1">
      <c r="B111" s="120"/>
      <c r="C111" s="179"/>
      <c r="D111" s="63" t="s">
        <v>1252</v>
      </c>
      <c r="E111" s="90" t="s">
        <v>1258</v>
      </c>
      <c r="F111" s="88"/>
      <c r="G111" s="118"/>
      <c r="H111" s="29"/>
      <c r="I111" s="64" t="s">
        <v>753</v>
      </c>
      <c r="J111" s="91"/>
      <c r="K111" s="92" t="s">
        <v>754</v>
      </c>
      <c r="L111" s="210"/>
      <c r="M111" s="211"/>
      <c r="N111" s="98"/>
    </row>
    <row r="112" spans="2:17" ht="15" customHeight="1">
      <c r="B112" s="120"/>
      <c r="C112" s="179"/>
      <c r="D112" s="63" t="s">
        <v>1260</v>
      </c>
      <c r="E112" s="36" t="s">
        <v>1261</v>
      </c>
      <c r="F112" s="88"/>
      <c r="G112" s="118"/>
      <c r="H112" s="29"/>
      <c r="I112" s="331" t="s">
        <v>750</v>
      </c>
      <c r="J112" s="331"/>
      <c r="K112" s="35" t="s">
        <v>751</v>
      </c>
      <c r="L112" s="210"/>
      <c r="M112" s="211"/>
      <c r="N112" s="98"/>
      <c r="Q112" s="132"/>
    </row>
    <row r="113" spans="2:17" ht="15" customHeight="1">
      <c r="B113" s="120"/>
      <c r="C113" s="179"/>
      <c r="D113" s="63" t="s">
        <v>1253</v>
      </c>
      <c r="E113" s="36" t="s">
        <v>755</v>
      </c>
      <c r="F113" s="88"/>
      <c r="G113" s="118"/>
      <c r="H113" s="12"/>
      <c r="I113" s="327" t="s">
        <v>752</v>
      </c>
      <c r="J113" s="328"/>
      <c r="K113" s="35" t="s">
        <v>1230</v>
      </c>
      <c r="L113" s="210"/>
      <c r="M113" s="211"/>
      <c r="N113" s="98"/>
      <c r="Q113" s="132"/>
    </row>
    <row r="114" spans="2:14" ht="15" customHeight="1">
      <c r="B114" s="120"/>
      <c r="C114" s="179"/>
      <c r="D114" s="63" t="s">
        <v>749</v>
      </c>
      <c r="E114" s="36" t="s">
        <v>1229</v>
      </c>
      <c r="F114" s="88"/>
      <c r="G114" s="118"/>
      <c r="H114" s="12"/>
      <c r="I114" s="69" t="s">
        <v>758</v>
      </c>
      <c r="J114" s="70"/>
      <c r="K114" s="36" t="s">
        <v>759</v>
      </c>
      <c r="L114" s="210"/>
      <c r="M114" s="211"/>
      <c r="N114" s="98"/>
    </row>
    <row r="115" spans="2:17" ht="15" customHeight="1">
      <c r="B115" s="120"/>
      <c r="C115" s="179"/>
      <c r="D115" s="63" t="s">
        <v>1263</v>
      </c>
      <c r="E115" s="36" t="s">
        <v>1264</v>
      </c>
      <c r="F115" s="88"/>
      <c r="G115" s="118"/>
      <c r="H115" s="12"/>
      <c r="I115" s="213" t="s">
        <v>1279</v>
      </c>
      <c r="J115" s="214"/>
      <c r="K115" s="36" t="s">
        <v>1278</v>
      </c>
      <c r="L115" s="210"/>
      <c r="M115" s="211"/>
      <c r="N115" s="98"/>
      <c r="Q115" s="132"/>
    </row>
    <row r="116" spans="2:14" ht="5.25" customHeight="1">
      <c r="B116" s="120"/>
      <c r="C116" s="177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98"/>
    </row>
    <row r="117" spans="2:14" ht="15" customHeight="1">
      <c r="B117" s="120"/>
      <c r="C117" s="171"/>
      <c r="D117" s="267" t="s">
        <v>760</v>
      </c>
      <c r="E117" s="267"/>
      <c r="F117" s="13" t="s">
        <v>761</v>
      </c>
      <c r="G117" s="13" t="s">
        <v>762</v>
      </c>
      <c r="H117" s="267" t="s">
        <v>670</v>
      </c>
      <c r="I117" s="267"/>
      <c r="J117" s="58" t="s">
        <v>763</v>
      </c>
      <c r="K117" s="13" t="s">
        <v>764</v>
      </c>
      <c r="L117" s="316"/>
      <c r="M117" s="316"/>
      <c r="N117" s="98"/>
    </row>
    <row r="118" spans="2:14" ht="15" customHeight="1" thickBot="1">
      <c r="B118" s="120"/>
      <c r="C118" s="171"/>
      <c r="D118" s="63" t="s">
        <v>765</v>
      </c>
      <c r="E118" s="36" t="s">
        <v>1231</v>
      </c>
      <c r="F118" s="93"/>
      <c r="G118" s="93"/>
      <c r="H118" s="294"/>
      <c r="I118" s="295"/>
      <c r="J118" s="93"/>
      <c r="K118" s="93"/>
      <c r="L118" s="316"/>
      <c r="M118" s="316"/>
      <c r="N118" s="98"/>
    </row>
    <row r="119" spans="2:14" ht="15" customHeight="1" thickBot="1">
      <c r="B119" s="120"/>
      <c r="C119" s="171"/>
      <c r="D119" s="63" t="s">
        <v>1257</v>
      </c>
      <c r="E119" s="32" t="s">
        <v>766</v>
      </c>
      <c r="F119" s="116"/>
      <c r="G119" s="116"/>
      <c r="H119" s="221"/>
      <c r="I119" s="221"/>
      <c r="J119" s="116"/>
      <c r="K119" s="116"/>
      <c r="L119" s="317"/>
      <c r="M119" s="316"/>
      <c r="N119" s="98"/>
    </row>
    <row r="120" spans="2:14" ht="15" customHeight="1" thickBot="1">
      <c r="B120" s="120"/>
      <c r="C120" s="171"/>
      <c r="D120" s="63" t="s">
        <v>767</v>
      </c>
      <c r="E120" s="32" t="s">
        <v>768</v>
      </c>
      <c r="F120" s="116"/>
      <c r="G120" s="116"/>
      <c r="H120" s="221"/>
      <c r="I120" s="221"/>
      <c r="J120" s="116"/>
      <c r="K120" s="116"/>
      <c r="L120" s="317"/>
      <c r="M120" s="316"/>
      <c r="N120" s="98"/>
    </row>
    <row r="121" spans="2:14" ht="15" customHeight="1" thickBot="1">
      <c r="B121" s="120"/>
      <c r="C121" s="171"/>
      <c r="D121" s="63" t="s">
        <v>769</v>
      </c>
      <c r="E121" s="32" t="s">
        <v>770</v>
      </c>
      <c r="F121" s="116"/>
      <c r="G121" s="116"/>
      <c r="H121" s="221"/>
      <c r="I121" s="221"/>
      <c r="J121" s="116"/>
      <c r="K121" s="116"/>
      <c r="L121" s="317"/>
      <c r="M121" s="316"/>
      <c r="N121" s="98"/>
    </row>
    <row r="122" spans="2:14" ht="15" customHeight="1" thickBot="1">
      <c r="B122" s="120"/>
      <c r="C122" s="171"/>
      <c r="D122" s="63" t="s">
        <v>771</v>
      </c>
      <c r="E122" s="32" t="s">
        <v>772</v>
      </c>
      <c r="F122" s="116"/>
      <c r="G122" s="116"/>
      <c r="H122" s="221"/>
      <c r="I122" s="221"/>
      <c r="J122" s="116"/>
      <c r="K122" s="116"/>
      <c r="L122" s="317"/>
      <c r="M122" s="316"/>
      <c r="N122" s="98"/>
    </row>
    <row r="123" spans="2:14" ht="15" customHeight="1" thickBot="1">
      <c r="B123" s="120"/>
      <c r="C123" s="171"/>
      <c r="D123" s="63" t="s">
        <v>773</v>
      </c>
      <c r="E123" s="32" t="s">
        <v>774</v>
      </c>
      <c r="F123" s="116"/>
      <c r="G123" s="116"/>
      <c r="H123" s="221"/>
      <c r="I123" s="221"/>
      <c r="J123" s="116"/>
      <c r="K123" s="116"/>
      <c r="L123" s="317"/>
      <c r="M123" s="316"/>
      <c r="N123" s="98"/>
    </row>
    <row r="124" spans="2:14" ht="15" customHeight="1" thickBot="1">
      <c r="B124" s="120"/>
      <c r="C124" s="171"/>
      <c r="D124" s="63" t="s">
        <v>775</v>
      </c>
      <c r="E124" s="32" t="s">
        <v>776</v>
      </c>
      <c r="F124" s="116"/>
      <c r="G124" s="116"/>
      <c r="H124" s="221"/>
      <c r="I124" s="221"/>
      <c r="J124" s="116"/>
      <c r="K124" s="116"/>
      <c r="L124" s="317"/>
      <c r="M124" s="316"/>
      <c r="N124" s="98"/>
    </row>
    <row r="125" spans="2:14" ht="15" customHeight="1" thickBot="1">
      <c r="B125" s="120"/>
      <c r="C125" s="171"/>
      <c r="D125" s="63" t="s">
        <v>1254</v>
      </c>
      <c r="E125" s="32" t="s">
        <v>1232</v>
      </c>
      <c r="F125" s="116"/>
      <c r="G125" s="116"/>
      <c r="H125" s="221"/>
      <c r="I125" s="221"/>
      <c r="J125" s="116"/>
      <c r="K125" s="116"/>
      <c r="L125" s="317"/>
      <c r="M125" s="316"/>
      <c r="N125" s="98"/>
    </row>
    <row r="126" spans="2:14" ht="15" customHeight="1" thickBot="1">
      <c r="B126" s="120"/>
      <c r="C126" s="171"/>
      <c r="D126" s="63" t="s">
        <v>777</v>
      </c>
      <c r="E126" s="32" t="s">
        <v>1233</v>
      </c>
      <c r="F126" s="116"/>
      <c r="G126" s="116"/>
      <c r="H126" s="221"/>
      <c r="I126" s="221"/>
      <c r="J126" s="116"/>
      <c r="K126" s="116"/>
      <c r="L126" s="317"/>
      <c r="M126" s="316"/>
      <c r="N126" s="98"/>
    </row>
    <row r="127" spans="2:14" ht="15" customHeight="1" thickBot="1">
      <c r="B127" s="120"/>
      <c r="C127" s="171"/>
      <c r="D127" s="63" t="s">
        <v>778</v>
      </c>
      <c r="E127" s="32" t="s">
        <v>1234</v>
      </c>
      <c r="F127" s="116"/>
      <c r="G127" s="116"/>
      <c r="H127" s="221"/>
      <c r="I127" s="221"/>
      <c r="J127" s="116"/>
      <c r="K127" s="116"/>
      <c r="L127" s="310"/>
      <c r="M127" s="311"/>
      <c r="N127" s="98"/>
    </row>
    <row r="128" spans="2:14" ht="15" customHeight="1" thickBot="1">
      <c r="B128" s="120"/>
      <c r="C128" s="171"/>
      <c r="D128" s="63" t="s">
        <v>779</v>
      </c>
      <c r="E128" s="32" t="s">
        <v>1235</v>
      </c>
      <c r="F128" s="116"/>
      <c r="G128" s="116"/>
      <c r="H128" s="221"/>
      <c r="I128" s="221"/>
      <c r="J128" s="116"/>
      <c r="K128" s="116"/>
      <c r="L128" s="270"/>
      <c r="M128" s="309"/>
      <c r="N128" s="98"/>
    </row>
    <row r="129" spans="2:14" ht="15" customHeight="1" thickBot="1">
      <c r="B129" s="120"/>
      <c r="C129" s="171"/>
      <c r="D129" s="63" t="s">
        <v>780</v>
      </c>
      <c r="E129" s="32" t="s">
        <v>781</v>
      </c>
      <c r="F129" s="127"/>
      <c r="G129" s="127"/>
      <c r="H129" s="318"/>
      <c r="I129" s="318"/>
      <c r="J129" s="127"/>
      <c r="K129" s="127"/>
      <c r="L129" s="270"/>
      <c r="M129" s="309"/>
      <c r="N129" s="98"/>
    </row>
    <row r="130" spans="2:14" ht="15" customHeight="1" thickBot="1">
      <c r="B130" s="120"/>
      <c r="C130" s="171"/>
      <c r="D130" s="94" t="s">
        <v>782</v>
      </c>
      <c r="E130" s="95" t="s">
        <v>783</v>
      </c>
      <c r="F130" s="151"/>
      <c r="G130" s="151"/>
      <c r="H130" s="222"/>
      <c r="I130" s="223"/>
      <c r="J130" s="151"/>
      <c r="K130" s="151"/>
      <c r="L130" s="270"/>
      <c r="M130" s="309"/>
      <c r="N130" s="98"/>
    </row>
    <row r="131" spans="2:14" ht="15" customHeight="1" thickBot="1">
      <c r="B131" s="120"/>
      <c r="C131" s="171"/>
      <c r="D131" s="67" t="s">
        <v>784</v>
      </c>
      <c r="E131" s="96" t="s">
        <v>1236</v>
      </c>
      <c r="F131" s="116"/>
      <c r="G131" s="116"/>
      <c r="H131" s="208"/>
      <c r="I131" s="209"/>
      <c r="J131" s="116"/>
      <c r="K131" s="116"/>
      <c r="L131" s="270"/>
      <c r="M131" s="309"/>
      <c r="N131" s="98"/>
    </row>
    <row r="132" spans="2:14" ht="15" customHeight="1" thickBot="1">
      <c r="B132" s="120"/>
      <c r="C132" s="171"/>
      <c r="D132" s="63" t="s">
        <v>1247</v>
      </c>
      <c r="E132" s="32" t="s">
        <v>1268</v>
      </c>
      <c r="F132" s="116"/>
      <c r="G132" s="116"/>
      <c r="H132" s="221"/>
      <c r="I132" s="221"/>
      <c r="J132" s="116"/>
      <c r="K132" s="116"/>
      <c r="L132" s="270"/>
      <c r="M132" s="309"/>
      <c r="N132" s="98"/>
    </row>
    <row r="133" spans="2:14" ht="15" customHeight="1">
      <c r="B133" s="120"/>
      <c r="C133" s="171"/>
      <c r="D133" s="63" t="s">
        <v>1208</v>
      </c>
      <c r="E133" s="32" t="s">
        <v>1272</v>
      </c>
      <c r="F133" s="128"/>
      <c r="G133" s="128"/>
      <c r="H133" s="326"/>
      <c r="I133" s="326"/>
      <c r="J133" s="128"/>
      <c r="K133" s="128"/>
      <c r="L133" s="270"/>
      <c r="M133" s="309"/>
      <c r="N133" s="98"/>
    </row>
    <row r="134" spans="2:14" ht="4.5" customHeight="1">
      <c r="B134" s="120"/>
      <c r="C134" s="172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98"/>
    </row>
    <row r="135" spans="2:14" ht="15" customHeight="1" thickBot="1">
      <c r="B135" s="120"/>
      <c r="C135" s="180"/>
      <c r="D135" s="267" t="s">
        <v>785</v>
      </c>
      <c r="E135" s="267"/>
      <c r="F135" s="59" t="s">
        <v>786</v>
      </c>
      <c r="G135" s="59" t="s">
        <v>787</v>
      </c>
      <c r="H135" s="268" t="s">
        <v>670</v>
      </c>
      <c r="I135" s="268"/>
      <c r="J135" s="141"/>
      <c r="K135" s="83"/>
      <c r="L135" s="83"/>
      <c r="M135" s="83"/>
      <c r="N135" s="98"/>
    </row>
    <row r="136" spans="2:14" ht="15" customHeight="1" thickBot="1">
      <c r="B136" s="120"/>
      <c r="C136" s="180"/>
      <c r="D136" s="63" t="s">
        <v>788</v>
      </c>
      <c r="E136" s="32" t="s">
        <v>789</v>
      </c>
      <c r="F136" s="155"/>
      <c r="G136" s="159"/>
      <c r="H136" s="225"/>
      <c r="I136" s="225"/>
      <c r="J136" s="83"/>
      <c r="K136" s="83"/>
      <c r="L136" s="83"/>
      <c r="M136" s="83"/>
      <c r="N136" s="98"/>
    </row>
    <row r="137" spans="2:14" ht="15" customHeight="1" thickBot="1">
      <c r="B137" s="120"/>
      <c r="C137" s="180"/>
      <c r="D137" s="63" t="s">
        <v>794</v>
      </c>
      <c r="E137" s="32" t="s">
        <v>1287</v>
      </c>
      <c r="F137" s="156"/>
      <c r="G137" s="159"/>
      <c r="H137" s="225"/>
      <c r="I137" s="225"/>
      <c r="J137" s="83"/>
      <c r="K137" s="83"/>
      <c r="L137" s="83"/>
      <c r="M137" s="83"/>
      <c r="N137" s="98"/>
    </row>
    <row r="138" spans="2:14" ht="15" customHeight="1" thickBot="1">
      <c r="B138" s="120"/>
      <c r="C138" s="180"/>
      <c r="D138" s="64" t="s">
        <v>795</v>
      </c>
      <c r="E138" s="92" t="s">
        <v>796</v>
      </c>
      <c r="F138" s="157"/>
      <c r="G138" s="159"/>
      <c r="H138" s="225"/>
      <c r="I138" s="225"/>
      <c r="J138" s="83"/>
      <c r="K138" s="83"/>
      <c r="L138" s="83"/>
      <c r="M138" s="83"/>
      <c r="N138" s="98"/>
    </row>
    <row r="139" spans="2:14" ht="15" customHeight="1" thickBot="1">
      <c r="B139" s="120"/>
      <c r="C139" s="180"/>
      <c r="D139" s="67" t="s">
        <v>790</v>
      </c>
      <c r="E139" s="96" t="s">
        <v>791</v>
      </c>
      <c r="F139" s="159"/>
      <c r="G139" s="159"/>
      <c r="H139" s="225"/>
      <c r="I139" s="225"/>
      <c r="J139" s="141"/>
      <c r="K139" s="83"/>
      <c r="L139" s="83"/>
      <c r="M139" s="83"/>
      <c r="N139" s="98"/>
    </row>
    <row r="140" spans="2:14" ht="15" customHeight="1" thickBot="1">
      <c r="B140" s="120"/>
      <c r="C140" s="180"/>
      <c r="D140" s="63" t="s">
        <v>792</v>
      </c>
      <c r="E140" s="32" t="s">
        <v>793</v>
      </c>
      <c r="F140" s="159"/>
      <c r="G140" s="160"/>
      <c r="H140" s="224"/>
      <c r="I140" s="224"/>
      <c r="J140" s="141"/>
      <c r="K140" s="83"/>
      <c r="L140" s="83"/>
      <c r="M140" s="83"/>
      <c r="N140" s="98"/>
    </row>
    <row r="141" spans="2:14" ht="15" customHeight="1" thickBot="1">
      <c r="B141" s="120"/>
      <c r="C141" s="180"/>
      <c r="D141" s="63" t="s">
        <v>797</v>
      </c>
      <c r="E141" s="36" t="s">
        <v>1280</v>
      </c>
      <c r="F141" s="159"/>
      <c r="G141" s="159"/>
      <c r="H141" s="225"/>
      <c r="I141" s="225"/>
      <c r="J141" s="141"/>
      <c r="K141" s="83"/>
      <c r="L141" s="83"/>
      <c r="M141" s="83"/>
      <c r="N141" s="98"/>
    </row>
    <row r="142" spans="2:14" ht="5.25" customHeight="1">
      <c r="B142" s="120"/>
      <c r="C142" s="181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98"/>
    </row>
    <row r="143" spans="2:14" ht="15" customHeight="1" thickBot="1">
      <c r="B143" s="120"/>
      <c r="C143" s="171"/>
      <c r="D143" s="267" t="s">
        <v>799</v>
      </c>
      <c r="E143" s="267"/>
      <c r="F143" s="59" t="s">
        <v>800</v>
      </c>
      <c r="G143" s="59" t="s">
        <v>801</v>
      </c>
      <c r="H143" s="83"/>
      <c r="I143" s="267" t="s">
        <v>802</v>
      </c>
      <c r="J143" s="267"/>
      <c r="K143" s="267"/>
      <c r="L143" s="272" t="s">
        <v>1248</v>
      </c>
      <c r="M143" s="268"/>
      <c r="N143" s="98"/>
    </row>
    <row r="144" spans="2:14" ht="15" customHeight="1" thickBot="1">
      <c r="B144" s="120"/>
      <c r="C144" s="171"/>
      <c r="D144" s="63" t="s">
        <v>803</v>
      </c>
      <c r="E144" s="32" t="s">
        <v>804</v>
      </c>
      <c r="F144" s="116"/>
      <c r="G144" s="116"/>
      <c r="H144" s="125"/>
      <c r="I144" s="301" t="s">
        <v>1298</v>
      </c>
      <c r="J144" s="301"/>
      <c r="K144" s="32" t="s">
        <v>1201</v>
      </c>
      <c r="L144" s="208"/>
      <c r="M144" s="209"/>
      <c r="N144" s="98"/>
    </row>
    <row r="145" spans="2:14" ht="15" customHeight="1" thickBot="1">
      <c r="B145" s="120"/>
      <c r="C145" s="171"/>
      <c r="D145" s="63" t="s">
        <v>805</v>
      </c>
      <c r="E145" s="32" t="s">
        <v>806</v>
      </c>
      <c r="F145" s="116"/>
      <c r="G145" s="116"/>
      <c r="H145" s="97"/>
      <c r="I145" s="301" t="s">
        <v>1297</v>
      </c>
      <c r="J145" s="301"/>
      <c r="K145" s="32" t="s">
        <v>1209</v>
      </c>
      <c r="L145" s="208"/>
      <c r="M145" s="209"/>
      <c r="N145" s="98"/>
    </row>
    <row r="146" spans="2:14" ht="15" customHeight="1" thickBot="1">
      <c r="B146" s="120"/>
      <c r="C146" s="171"/>
      <c r="D146" s="63" t="s">
        <v>808</v>
      </c>
      <c r="E146" s="32" t="s">
        <v>1237</v>
      </c>
      <c r="F146" s="116"/>
      <c r="G146" s="116"/>
      <c r="H146" s="97"/>
      <c r="I146" s="66" t="s">
        <v>815</v>
      </c>
      <c r="J146" s="66"/>
      <c r="K146" s="73" t="s">
        <v>816</v>
      </c>
      <c r="L146" s="291"/>
      <c r="M146" s="292"/>
      <c r="N146" s="98"/>
    </row>
    <row r="147" spans="2:14" ht="15" customHeight="1" thickBot="1">
      <c r="B147" s="120"/>
      <c r="C147" s="171"/>
      <c r="D147" s="63" t="s">
        <v>810</v>
      </c>
      <c r="E147" s="32" t="s">
        <v>811</v>
      </c>
      <c r="F147" s="116"/>
      <c r="G147" s="116"/>
      <c r="H147" s="97"/>
      <c r="I147" s="262" t="s">
        <v>807</v>
      </c>
      <c r="J147" s="262"/>
      <c r="K147" s="32" t="s">
        <v>1241</v>
      </c>
      <c r="L147" s="265"/>
      <c r="M147" s="266"/>
      <c r="N147" s="98"/>
    </row>
    <row r="148" spans="2:14" ht="15" customHeight="1" thickBot="1">
      <c r="B148" s="120"/>
      <c r="C148" s="171"/>
      <c r="D148" s="63" t="s">
        <v>813</v>
      </c>
      <c r="E148" s="32" t="s">
        <v>814</v>
      </c>
      <c r="F148" s="116"/>
      <c r="G148" s="116"/>
      <c r="H148" s="97"/>
      <c r="I148" s="213" t="s">
        <v>809</v>
      </c>
      <c r="J148" s="214"/>
      <c r="K148" s="32" t="s">
        <v>1266</v>
      </c>
      <c r="L148" s="208"/>
      <c r="M148" s="209"/>
      <c r="N148" s="98"/>
    </row>
    <row r="149" spans="2:14" ht="15" customHeight="1" thickBot="1">
      <c r="B149" s="120"/>
      <c r="C149" s="171"/>
      <c r="D149" s="63" t="s">
        <v>817</v>
      </c>
      <c r="E149" s="32" t="s">
        <v>1238</v>
      </c>
      <c r="F149" s="116"/>
      <c r="G149" s="116"/>
      <c r="H149" s="97"/>
      <c r="I149" s="213" t="s">
        <v>812</v>
      </c>
      <c r="J149" s="214"/>
      <c r="K149" s="73" t="s">
        <v>1265</v>
      </c>
      <c r="L149" s="217"/>
      <c r="M149" s="218"/>
      <c r="N149" s="98"/>
    </row>
    <row r="150" spans="2:14" ht="15" customHeight="1" thickBot="1">
      <c r="B150" s="120"/>
      <c r="C150" s="171"/>
      <c r="D150" s="63" t="s">
        <v>818</v>
      </c>
      <c r="E150" s="32" t="s">
        <v>819</v>
      </c>
      <c r="F150" s="116"/>
      <c r="G150" s="116"/>
      <c r="H150" s="125"/>
      <c r="I150" s="262" t="s">
        <v>1296</v>
      </c>
      <c r="J150" s="262"/>
      <c r="K150" s="43" t="s">
        <v>1243</v>
      </c>
      <c r="L150" s="208"/>
      <c r="M150" s="209"/>
      <c r="N150" s="98"/>
    </row>
    <row r="151" spans="2:14" ht="5.25" customHeight="1">
      <c r="B151" s="120"/>
      <c r="C151" s="169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98"/>
    </row>
    <row r="152" spans="2:14" ht="26.25" customHeight="1">
      <c r="B152" s="120"/>
      <c r="C152" s="170"/>
      <c r="D152" s="267" t="s">
        <v>822</v>
      </c>
      <c r="E152" s="267"/>
      <c r="F152" s="268" t="s">
        <v>820</v>
      </c>
      <c r="G152" s="268" t="s">
        <v>823</v>
      </c>
      <c r="H152" s="320" t="s">
        <v>1439</v>
      </c>
      <c r="I152" s="321"/>
      <c r="J152" s="14"/>
      <c r="K152" s="324" t="s">
        <v>820</v>
      </c>
      <c r="L152" s="312" t="s">
        <v>821</v>
      </c>
      <c r="M152" s="313"/>
      <c r="N152" s="98"/>
    </row>
    <row r="153" spans="2:14" ht="26.25" customHeight="1">
      <c r="B153" s="120"/>
      <c r="C153" s="170"/>
      <c r="D153" s="13" t="s">
        <v>1386</v>
      </c>
      <c r="E153" s="13" t="s">
        <v>1387</v>
      </c>
      <c r="F153" s="319"/>
      <c r="G153" s="319"/>
      <c r="H153" s="322"/>
      <c r="I153" s="323"/>
      <c r="J153" s="14"/>
      <c r="K153" s="325"/>
      <c r="L153" s="314"/>
      <c r="M153" s="315"/>
      <c r="N153" s="98"/>
    </row>
    <row r="154" spans="2:14" ht="17.25" customHeight="1">
      <c r="B154" s="120"/>
      <c r="C154" s="170"/>
      <c r="D154" s="51"/>
      <c r="E154" s="51"/>
      <c r="F154" s="75"/>
      <c r="G154" s="85"/>
      <c r="H154" s="206"/>
      <c r="I154" s="207"/>
      <c r="J154" s="192"/>
      <c r="K154" s="10" t="s">
        <v>824</v>
      </c>
      <c r="L154" s="290" t="s">
        <v>670</v>
      </c>
      <c r="M154" s="290"/>
      <c r="N154" s="98"/>
    </row>
    <row r="155" spans="2:14" ht="17.25" customHeight="1">
      <c r="B155" s="120"/>
      <c r="C155" s="170"/>
      <c r="D155" s="51"/>
      <c r="E155" s="51"/>
      <c r="F155" s="75"/>
      <c r="G155" s="85"/>
      <c r="H155" s="206"/>
      <c r="I155" s="207"/>
      <c r="J155" s="192"/>
      <c r="K155" s="10" t="s">
        <v>825</v>
      </c>
      <c r="L155" s="290" t="s">
        <v>714</v>
      </c>
      <c r="M155" s="290"/>
      <c r="N155" s="98"/>
    </row>
    <row r="156" spans="2:14" ht="17.25" customHeight="1">
      <c r="B156" s="120"/>
      <c r="C156" s="170"/>
      <c r="D156" s="51"/>
      <c r="E156" s="51"/>
      <c r="F156" s="75"/>
      <c r="G156" s="85"/>
      <c r="H156" s="206"/>
      <c r="I156" s="207"/>
      <c r="J156" s="192"/>
      <c r="K156" s="10" t="s">
        <v>826</v>
      </c>
      <c r="L156" s="290" t="s">
        <v>827</v>
      </c>
      <c r="M156" s="290"/>
      <c r="N156" s="98"/>
    </row>
    <row r="157" spans="2:14" ht="17.25" customHeight="1">
      <c r="B157" s="120"/>
      <c r="C157" s="170"/>
      <c r="D157" s="51"/>
      <c r="E157" s="51"/>
      <c r="F157" s="75"/>
      <c r="G157" s="85"/>
      <c r="H157" s="206"/>
      <c r="I157" s="207"/>
      <c r="J157" s="192"/>
      <c r="K157" s="10" t="s">
        <v>828</v>
      </c>
      <c r="L157" s="290" t="s">
        <v>685</v>
      </c>
      <c r="M157" s="290"/>
      <c r="N157" s="98"/>
    </row>
    <row r="158" spans="2:14" ht="17.25" customHeight="1">
      <c r="B158" s="120"/>
      <c r="C158" s="170"/>
      <c r="D158" s="51">
        <f>+Gegevens!D436</f>
      </c>
      <c r="E158" s="51"/>
      <c r="F158" s="75"/>
      <c r="G158" s="85"/>
      <c r="H158" s="206"/>
      <c r="I158" s="207"/>
      <c r="J158" s="192"/>
      <c r="K158" s="10" t="s">
        <v>829</v>
      </c>
      <c r="L158" s="290" t="s">
        <v>787</v>
      </c>
      <c r="M158" s="290"/>
      <c r="N158" s="98"/>
    </row>
    <row r="159" spans="2:14" ht="17.25" customHeight="1">
      <c r="B159" s="120"/>
      <c r="C159" s="170"/>
      <c r="D159" s="51">
        <f>+Gegevens!D437</f>
      </c>
      <c r="E159" s="51"/>
      <c r="F159" s="75"/>
      <c r="G159" s="85"/>
      <c r="H159" s="206"/>
      <c r="I159" s="207"/>
      <c r="J159" s="192"/>
      <c r="K159" s="10" t="s">
        <v>830</v>
      </c>
      <c r="L159" s="9" t="s">
        <v>1244</v>
      </c>
      <c r="M159" s="9"/>
      <c r="N159" s="98"/>
    </row>
    <row r="160" spans="2:14" ht="17.25" customHeight="1">
      <c r="B160" s="120"/>
      <c r="C160" s="170"/>
      <c r="D160" s="51">
        <f>+Gegevens!D438</f>
      </c>
      <c r="E160" s="51"/>
      <c r="F160" s="75"/>
      <c r="G160" s="85"/>
      <c r="H160" s="206"/>
      <c r="I160" s="207"/>
      <c r="J160" s="192"/>
      <c r="K160" s="10" t="s">
        <v>831</v>
      </c>
      <c r="L160" s="290" t="s">
        <v>832</v>
      </c>
      <c r="M160" s="290"/>
      <c r="N160" s="98"/>
    </row>
    <row r="161" spans="2:14" ht="17.25" customHeight="1">
      <c r="B161" s="120"/>
      <c r="C161" s="170"/>
      <c r="D161" s="51">
        <f>+Gegevens!D439</f>
      </c>
      <c r="E161" s="51"/>
      <c r="F161" s="75"/>
      <c r="G161" s="85"/>
      <c r="H161" s="206"/>
      <c r="I161" s="207"/>
      <c r="J161" s="192"/>
      <c r="K161" s="10" t="s">
        <v>833</v>
      </c>
      <c r="L161" s="290" t="s">
        <v>1246</v>
      </c>
      <c r="M161" s="290"/>
      <c r="N161" s="98"/>
    </row>
    <row r="162" spans="2:14" ht="17.25" customHeight="1">
      <c r="B162" s="120"/>
      <c r="C162" s="170"/>
      <c r="D162" s="51">
        <f>+Gegevens!D440</f>
      </c>
      <c r="E162" s="51"/>
      <c r="F162" s="75"/>
      <c r="G162" s="85"/>
      <c r="H162" s="206"/>
      <c r="I162" s="207"/>
      <c r="J162" s="192"/>
      <c r="K162" s="10" t="s">
        <v>834</v>
      </c>
      <c r="L162" s="290" t="s">
        <v>835</v>
      </c>
      <c r="M162" s="290"/>
      <c r="N162" s="98"/>
    </row>
    <row r="163" spans="2:14" ht="17.25" customHeight="1">
      <c r="B163" s="120"/>
      <c r="C163" s="170"/>
      <c r="D163" s="51">
        <f>+Gegevens!D441</f>
      </c>
      <c r="E163" s="51"/>
      <c r="F163" s="75"/>
      <c r="G163" s="85"/>
      <c r="H163" s="206"/>
      <c r="I163" s="207"/>
      <c r="J163" s="192"/>
      <c r="K163" s="10" t="s">
        <v>836</v>
      </c>
      <c r="L163" s="290" t="s">
        <v>837</v>
      </c>
      <c r="M163" s="290"/>
      <c r="N163" s="98"/>
    </row>
    <row r="164" spans="2:14" ht="17.25" customHeight="1">
      <c r="B164" s="120"/>
      <c r="C164" s="170"/>
      <c r="D164" s="51">
        <f>+Gegevens!D442</f>
      </c>
      <c r="E164" s="51"/>
      <c r="F164" s="75"/>
      <c r="G164" s="85"/>
      <c r="H164" s="206"/>
      <c r="I164" s="207"/>
      <c r="J164" s="192"/>
      <c r="K164" s="10" t="s">
        <v>838</v>
      </c>
      <c r="L164" s="290" t="s">
        <v>839</v>
      </c>
      <c r="M164" s="290"/>
      <c r="N164" s="98"/>
    </row>
    <row r="165" spans="2:14" ht="17.25" customHeight="1">
      <c r="B165" s="120"/>
      <c r="C165" s="170"/>
      <c r="D165" s="51">
        <f>+Gegevens!D443</f>
      </c>
      <c r="E165" s="51"/>
      <c r="F165" s="75"/>
      <c r="G165" s="85"/>
      <c r="H165" s="206"/>
      <c r="I165" s="207"/>
      <c r="J165" s="192"/>
      <c r="K165" s="10" t="s">
        <v>840</v>
      </c>
      <c r="L165" s="290" t="s">
        <v>800</v>
      </c>
      <c r="M165" s="290"/>
      <c r="N165" s="98"/>
    </row>
    <row r="166" spans="2:14" ht="17.25" customHeight="1">
      <c r="B166" s="120"/>
      <c r="C166" s="170"/>
      <c r="D166" s="51">
        <f>+Gegevens!D444</f>
      </c>
      <c r="E166" s="51"/>
      <c r="F166" s="75"/>
      <c r="G166" s="85"/>
      <c r="H166" s="206"/>
      <c r="I166" s="207"/>
      <c r="J166" s="192"/>
      <c r="K166" s="10" t="s">
        <v>841</v>
      </c>
      <c r="L166" s="290" t="s">
        <v>841</v>
      </c>
      <c r="M166" s="290"/>
      <c r="N166" s="98"/>
    </row>
    <row r="167" spans="2:14" ht="17.25" customHeight="1">
      <c r="B167" s="120"/>
      <c r="C167" s="170"/>
      <c r="D167" s="51">
        <f>+Gegevens!D445</f>
      </c>
      <c r="E167" s="51"/>
      <c r="F167" s="75"/>
      <c r="G167" s="85"/>
      <c r="H167" s="206"/>
      <c r="I167" s="207"/>
      <c r="J167" s="192"/>
      <c r="K167" s="10" t="s">
        <v>842</v>
      </c>
      <c r="L167" s="290" t="s">
        <v>1245</v>
      </c>
      <c r="M167" s="290"/>
      <c r="N167" s="98"/>
    </row>
    <row r="168" spans="2:14" ht="17.25" customHeight="1">
      <c r="B168" s="120"/>
      <c r="C168" s="170"/>
      <c r="D168" s="51">
        <f>+Gegevens!D446</f>
      </c>
      <c r="E168" s="51"/>
      <c r="F168" s="75"/>
      <c r="G168" s="85"/>
      <c r="H168" s="206"/>
      <c r="I168" s="207"/>
      <c r="J168" s="126"/>
      <c r="K168" s="125"/>
      <c r="L168" s="125"/>
      <c r="M168" s="125"/>
      <c r="N168" s="193"/>
    </row>
    <row r="169" spans="2:14" ht="17.25" customHeight="1">
      <c r="B169" s="120"/>
      <c r="C169" s="170"/>
      <c r="D169" s="51">
        <f>+Gegevens!D447</f>
      </c>
      <c r="E169" s="51"/>
      <c r="F169" s="75"/>
      <c r="G169" s="85"/>
      <c r="H169" s="206"/>
      <c r="I169" s="207"/>
      <c r="J169" s="126"/>
      <c r="K169" s="125"/>
      <c r="L169" s="125"/>
      <c r="M169" s="125"/>
      <c r="N169" s="193"/>
    </row>
    <row r="170" spans="2:14" ht="17.25" customHeight="1">
      <c r="B170" s="120"/>
      <c r="C170" s="170"/>
      <c r="D170" s="51">
        <f>+Gegevens!D448</f>
      </c>
      <c r="E170" s="51"/>
      <c r="F170" s="75"/>
      <c r="G170" s="85"/>
      <c r="H170" s="206"/>
      <c r="I170" s="207"/>
      <c r="J170" s="126"/>
      <c r="K170" s="125"/>
      <c r="L170" s="125"/>
      <c r="M170" s="125"/>
      <c r="N170" s="193"/>
    </row>
    <row r="171" spans="2:14" ht="17.25" customHeight="1">
      <c r="B171" s="120"/>
      <c r="C171" s="170"/>
      <c r="D171" s="51">
        <f>+Gegevens!D449</f>
      </c>
      <c r="E171" s="51"/>
      <c r="F171" s="75"/>
      <c r="G171" s="85"/>
      <c r="H171" s="206"/>
      <c r="I171" s="207"/>
      <c r="J171" s="126"/>
      <c r="K171" s="125"/>
      <c r="L171" s="125"/>
      <c r="M171" s="125"/>
      <c r="N171" s="193"/>
    </row>
    <row r="172" spans="2:14" ht="17.25" customHeight="1">
      <c r="B172" s="120"/>
      <c r="C172" s="170"/>
      <c r="D172" s="51">
        <f>+Gegevens!D450</f>
      </c>
      <c r="E172" s="51"/>
      <c r="F172" s="75"/>
      <c r="G172" s="85"/>
      <c r="H172" s="206"/>
      <c r="I172" s="207"/>
      <c r="J172" s="126"/>
      <c r="K172" s="125"/>
      <c r="L172" s="125"/>
      <c r="M172" s="125"/>
      <c r="N172" s="193"/>
    </row>
    <row r="173" spans="2:14" ht="17.25" customHeight="1">
      <c r="B173" s="120"/>
      <c r="C173" s="170"/>
      <c r="D173" s="51">
        <f>+Gegevens!D451</f>
      </c>
      <c r="E173" s="51"/>
      <c r="F173" s="75"/>
      <c r="G173" s="85"/>
      <c r="H173" s="206"/>
      <c r="I173" s="207"/>
      <c r="J173" s="126"/>
      <c r="K173" s="125"/>
      <c r="L173" s="125"/>
      <c r="M173" s="125"/>
      <c r="N173" s="193"/>
    </row>
    <row r="174" spans="2:14" ht="17.25" customHeight="1">
      <c r="B174" s="120"/>
      <c r="C174" s="170"/>
      <c r="D174" s="51">
        <f>+Gegevens!D452</f>
      </c>
      <c r="E174" s="51"/>
      <c r="F174" s="75"/>
      <c r="G174" s="85"/>
      <c r="H174" s="206"/>
      <c r="I174" s="207"/>
      <c r="J174" s="126"/>
      <c r="K174" s="125"/>
      <c r="L174" s="125"/>
      <c r="M174" s="125"/>
      <c r="N174" s="193"/>
    </row>
    <row r="175" spans="2:14" ht="17.25" customHeight="1">
      <c r="B175" s="120"/>
      <c r="C175" s="170"/>
      <c r="D175" s="51">
        <f>+Gegevens!D453</f>
      </c>
      <c r="E175" s="51"/>
      <c r="F175" s="75"/>
      <c r="G175" s="85"/>
      <c r="H175" s="206"/>
      <c r="I175" s="207"/>
      <c r="J175" s="126"/>
      <c r="K175" s="125"/>
      <c r="L175" s="125"/>
      <c r="M175" s="125"/>
      <c r="N175" s="193"/>
    </row>
    <row r="176" spans="2:14" ht="17.25" customHeight="1">
      <c r="B176" s="120"/>
      <c r="C176" s="170"/>
      <c r="D176" s="51">
        <f>+Gegevens!D454</f>
      </c>
      <c r="E176" s="51"/>
      <c r="F176" s="75"/>
      <c r="G176" s="85"/>
      <c r="H176" s="206"/>
      <c r="I176" s="207"/>
      <c r="J176" s="126"/>
      <c r="K176" s="125"/>
      <c r="L176" s="125"/>
      <c r="M176" s="125"/>
      <c r="N176" s="193"/>
    </row>
    <row r="177" spans="2:14" ht="17.25" customHeight="1">
      <c r="B177" s="120"/>
      <c r="C177" s="170"/>
      <c r="D177" s="51">
        <f>+Gegevens!D455</f>
      </c>
      <c r="E177" s="51"/>
      <c r="F177" s="75"/>
      <c r="G177" s="85"/>
      <c r="H177" s="206"/>
      <c r="I177" s="207"/>
      <c r="J177" s="126"/>
      <c r="K177" s="125"/>
      <c r="L177" s="125"/>
      <c r="M177" s="125"/>
      <c r="N177" s="193"/>
    </row>
    <row r="178" spans="2:14" ht="17.25" customHeight="1">
      <c r="B178" s="120"/>
      <c r="C178" s="170"/>
      <c r="D178" s="51">
        <f>+Gegevens!D456</f>
      </c>
      <c r="E178" s="51"/>
      <c r="F178" s="75"/>
      <c r="G178" s="85"/>
      <c r="H178" s="206"/>
      <c r="I178" s="207"/>
      <c r="J178" s="126"/>
      <c r="K178" s="125"/>
      <c r="L178" s="125"/>
      <c r="M178" s="125"/>
      <c r="N178" s="193"/>
    </row>
    <row r="179" spans="2:14" ht="17.25" customHeight="1">
      <c r="B179" s="120"/>
      <c r="C179" s="170"/>
      <c r="D179" s="51">
        <f>+Gegevens!D457</f>
      </c>
      <c r="E179" s="51"/>
      <c r="F179" s="75"/>
      <c r="G179" s="85"/>
      <c r="H179" s="206"/>
      <c r="I179" s="207"/>
      <c r="J179" s="126"/>
      <c r="K179" s="125"/>
      <c r="L179" s="125"/>
      <c r="M179" s="125"/>
      <c r="N179" s="193"/>
    </row>
    <row r="180" spans="2:14" ht="17.25" customHeight="1">
      <c r="B180" s="120"/>
      <c r="C180" s="170"/>
      <c r="D180" s="51">
        <f>+Gegevens!D458</f>
      </c>
      <c r="E180" s="51"/>
      <c r="F180" s="75"/>
      <c r="G180" s="85"/>
      <c r="H180" s="206"/>
      <c r="I180" s="207"/>
      <c r="J180" s="126"/>
      <c r="K180" s="125"/>
      <c r="L180" s="125"/>
      <c r="M180" s="125"/>
      <c r="N180" s="193"/>
    </row>
    <row r="181" spans="2:14" ht="17.25" customHeight="1">
      <c r="B181" s="120"/>
      <c r="C181" s="170"/>
      <c r="D181" s="51">
        <f>+Gegevens!D459</f>
      </c>
      <c r="E181" s="51"/>
      <c r="F181" s="75"/>
      <c r="G181" s="85"/>
      <c r="H181" s="206"/>
      <c r="I181" s="207"/>
      <c r="J181" s="126"/>
      <c r="K181" s="125"/>
      <c r="L181" s="125"/>
      <c r="M181" s="125"/>
      <c r="N181" s="193"/>
    </row>
    <row r="182" spans="2:14" ht="17.25" customHeight="1">
      <c r="B182" s="120"/>
      <c r="C182" s="170"/>
      <c r="D182" s="51">
        <f>+Gegevens!D460</f>
      </c>
      <c r="E182" s="51"/>
      <c r="F182" s="75"/>
      <c r="G182" s="85"/>
      <c r="H182" s="206"/>
      <c r="I182" s="207"/>
      <c r="J182" s="126"/>
      <c r="K182" s="125"/>
      <c r="L182" s="125"/>
      <c r="M182" s="125"/>
      <c r="N182" s="193"/>
    </row>
    <row r="183" spans="2:14" ht="17.25" customHeight="1">
      <c r="B183" s="120"/>
      <c r="C183" s="170"/>
      <c r="D183" s="51">
        <f>+Gegevens!D461</f>
      </c>
      <c r="E183" s="51"/>
      <c r="F183" s="75"/>
      <c r="G183" s="85"/>
      <c r="H183" s="206"/>
      <c r="I183" s="207"/>
      <c r="J183" s="126"/>
      <c r="K183" s="125"/>
      <c r="L183" s="125"/>
      <c r="M183" s="125"/>
      <c r="N183" s="193"/>
    </row>
    <row r="184" spans="2:14" ht="17.25" customHeight="1">
      <c r="B184" s="120"/>
      <c r="C184" s="169"/>
      <c r="D184" s="24" t="s">
        <v>1200</v>
      </c>
      <c r="E184" s="30" t="s">
        <v>1302</v>
      </c>
      <c r="F184" s="119"/>
      <c r="G184" s="119"/>
      <c r="H184" s="25"/>
      <c r="I184" s="25"/>
      <c r="J184" s="125"/>
      <c r="K184" s="125"/>
      <c r="L184" s="125"/>
      <c r="M184" s="125"/>
      <c r="N184" s="193"/>
    </row>
    <row r="185" spans="2:14" ht="18.75" customHeight="1">
      <c r="B185" s="120"/>
      <c r="C185" s="169"/>
      <c r="D185" s="299" t="s">
        <v>2318</v>
      </c>
      <c r="E185" s="300"/>
      <c r="F185" s="300"/>
      <c r="G185" s="300"/>
      <c r="H185" s="300"/>
      <c r="I185" s="300"/>
      <c r="J185" s="300"/>
      <c r="K185" s="300"/>
      <c r="L185" s="300"/>
      <c r="M185" s="300"/>
      <c r="N185" s="98"/>
    </row>
    <row r="186" spans="2:14" ht="165" customHeight="1">
      <c r="B186" s="120"/>
      <c r="C186" s="169"/>
      <c r="D186" s="296"/>
      <c r="E186" s="297"/>
      <c r="F186" s="297"/>
      <c r="G186" s="297"/>
      <c r="H186" s="297"/>
      <c r="I186" s="297"/>
      <c r="J186" s="297"/>
      <c r="K186" s="297"/>
      <c r="L186" s="297"/>
      <c r="M186" s="298"/>
      <c r="N186" s="167"/>
    </row>
    <row r="187" spans="2:14" ht="17.25" customHeight="1">
      <c r="B187" s="120"/>
      <c r="C187" s="169"/>
      <c r="D187" s="185" t="s">
        <v>2566</v>
      </c>
      <c r="E187" s="186"/>
      <c r="F187" s="187"/>
      <c r="G187" s="187"/>
      <c r="H187" s="186"/>
      <c r="I187" s="186"/>
      <c r="J187" s="186"/>
      <c r="K187" s="186"/>
      <c r="L187" s="186"/>
      <c r="M187" s="188" t="s">
        <v>2565</v>
      </c>
      <c r="N187" s="98"/>
    </row>
    <row r="188" spans="3:16" ht="12.75">
      <c r="C188" s="182"/>
      <c r="D188" s="189"/>
      <c r="E188" s="189"/>
      <c r="F188" s="190"/>
      <c r="G188" s="190"/>
      <c r="H188" s="190"/>
      <c r="I188" s="190"/>
      <c r="J188" s="190"/>
      <c r="K188" s="190"/>
      <c r="L188" s="190"/>
      <c r="M188" s="189"/>
      <c r="N188" s="184"/>
      <c r="P188" s="131" t="s">
        <v>843</v>
      </c>
    </row>
  </sheetData>
  <sheetProtection selectLockedCells="1"/>
  <mergeCells count="249">
    <mergeCell ref="H97:I97"/>
    <mergeCell ref="H98:I98"/>
    <mergeCell ref="H99:I99"/>
    <mergeCell ref="H100:I100"/>
    <mergeCell ref="L93:M93"/>
    <mergeCell ref="L112:M112"/>
    <mergeCell ref="D108:M108"/>
    <mergeCell ref="D109:E109"/>
    <mergeCell ref="H96:I96"/>
    <mergeCell ref="I112:J112"/>
    <mergeCell ref="L111:M111"/>
    <mergeCell ref="H105:I105"/>
    <mergeCell ref="H101:I101"/>
    <mergeCell ref="H102:I102"/>
    <mergeCell ref="D116:M116"/>
    <mergeCell ref="D152:E152"/>
    <mergeCell ref="D151:M151"/>
    <mergeCell ref="I150:J150"/>
    <mergeCell ref="I113:J113"/>
    <mergeCell ref="I115:J115"/>
    <mergeCell ref="L114:M114"/>
    <mergeCell ref="L150:M150"/>
    <mergeCell ref="F152:F153"/>
    <mergeCell ref="H152:I153"/>
    <mergeCell ref="G152:G153"/>
    <mergeCell ref="K152:K153"/>
    <mergeCell ref="H133:I133"/>
    <mergeCell ref="H120:I120"/>
    <mergeCell ref="H121:I121"/>
    <mergeCell ref="H135:I135"/>
    <mergeCell ref="L113:M113"/>
    <mergeCell ref="L115:M115"/>
    <mergeCell ref="L149:M149"/>
    <mergeCell ref="L152:M153"/>
    <mergeCell ref="L145:M145"/>
    <mergeCell ref="I110:J110"/>
    <mergeCell ref="L110:M110"/>
    <mergeCell ref="L117:M126"/>
    <mergeCell ref="H128:I128"/>
    <mergeCell ref="H129:I129"/>
    <mergeCell ref="I109:K109"/>
    <mergeCell ref="D143:E143"/>
    <mergeCell ref="H138:I138"/>
    <mergeCell ref="H141:I141"/>
    <mergeCell ref="L128:M133"/>
    <mergeCell ref="H123:I123"/>
    <mergeCell ref="H124:I124"/>
    <mergeCell ref="H125:I125"/>
    <mergeCell ref="L127:M127"/>
    <mergeCell ref="H117:I117"/>
    <mergeCell ref="H106:I106"/>
    <mergeCell ref="H107:I107"/>
    <mergeCell ref="H92:I92"/>
    <mergeCell ref="L109:M109"/>
    <mergeCell ref="L92:M92"/>
    <mergeCell ref="H93:I93"/>
    <mergeCell ref="H103:I103"/>
    <mergeCell ref="H104:I104"/>
    <mergeCell ref="H94:I94"/>
    <mergeCell ref="H95:I95"/>
    <mergeCell ref="L91:M91"/>
    <mergeCell ref="L90:M90"/>
    <mergeCell ref="H90:I90"/>
    <mergeCell ref="H85:I85"/>
    <mergeCell ref="H86:I86"/>
    <mergeCell ref="J86:M86"/>
    <mergeCell ref="H91:I91"/>
    <mergeCell ref="D89:E89"/>
    <mergeCell ref="H75:I75"/>
    <mergeCell ref="H79:I79"/>
    <mergeCell ref="D75:E75"/>
    <mergeCell ref="H77:I77"/>
    <mergeCell ref="H76:I76"/>
    <mergeCell ref="H78:I78"/>
    <mergeCell ref="H89:I89"/>
    <mergeCell ref="H84:I84"/>
    <mergeCell ref="H81:I81"/>
    <mergeCell ref="H136:I136"/>
    <mergeCell ref="H139:I139"/>
    <mergeCell ref="I148:J148"/>
    <mergeCell ref="I147:J147"/>
    <mergeCell ref="I145:J145"/>
    <mergeCell ref="I144:J144"/>
    <mergeCell ref="D142:M142"/>
    <mergeCell ref="L147:M147"/>
    <mergeCell ref="H163:I163"/>
    <mergeCell ref="H166:I166"/>
    <mergeCell ref="H181:I181"/>
    <mergeCell ref="H172:I172"/>
    <mergeCell ref="H169:I169"/>
    <mergeCell ref="H170:I170"/>
    <mergeCell ref="H177:I177"/>
    <mergeCell ref="H178:I178"/>
    <mergeCell ref="L167:M167"/>
    <mergeCell ref="H168:I168"/>
    <mergeCell ref="L164:M164"/>
    <mergeCell ref="L165:M165"/>
    <mergeCell ref="L166:M166"/>
    <mergeCell ref="H183:I183"/>
    <mergeCell ref="H182:I182"/>
    <mergeCell ref="D117:E117"/>
    <mergeCell ref="H126:I126"/>
    <mergeCell ref="H118:I118"/>
    <mergeCell ref="H119:I119"/>
    <mergeCell ref="H122:I122"/>
    <mergeCell ref="D186:M186"/>
    <mergeCell ref="H164:I164"/>
    <mergeCell ref="H165:I165"/>
    <mergeCell ref="D185:M185"/>
    <mergeCell ref="H167:I167"/>
    <mergeCell ref="L162:M162"/>
    <mergeCell ref="H159:I159"/>
    <mergeCell ref="H157:I157"/>
    <mergeCell ref="H127:I127"/>
    <mergeCell ref="D134:M134"/>
    <mergeCell ref="D135:E135"/>
    <mergeCell ref="H162:I162"/>
    <mergeCell ref="L154:M154"/>
    <mergeCell ref="I143:K143"/>
    <mergeCell ref="L143:M143"/>
    <mergeCell ref="L163:M163"/>
    <mergeCell ref="L155:M155"/>
    <mergeCell ref="H161:I161"/>
    <mergeCell ref="L161:M161"/>
    <mergeCell ref="H155:I155"/>
    <mergeCell ref="H156:I156"/>
    <mergeCell ref="L157:M157"/>
    <mergeCell ref="H158:I158"/>
    <mergeCell ref="L156:M156"/>
    <mergeCell ref="L158:M158"/>
    <mergeCell ref="H69:I69"/>
    <mergeCell ref="H70:I70"/>
    <mergeCell ref="H71:I71"/>
    <mergeCell ref="H72:I72"/>
    <mergeCell ref="L160:M160"/>
    <mergeCell ref="H160:I160"/>
    <mergeCell ref="H154:I154"/>
    <mergeCell ref="L144:M144"/>
    <mergeCell ref="L148:M148"/>
    <mergeCell ref="L146:M146"/>
    <mergeCell ref="I25:K25"/>
    <mergeCell ref="I33:J33"/>
    <mergeCell ref="I35:K35"/>
    <mergeCell ref="I30:J30"/>
    <mergeCell ref="I31:J31"/>
    <mergeCell ref="I29:J29"/>
    <mergeCell ref="I34:M34"/>
    <mergeCell ref="L22:M22"/>
    <mergeCell ref="F27:M27"/>
    <mergeCell ref="L23:M23"/>
    <mergeCell ref="I23:K23"/>
    <mergeCell ref="I22:K22"/>
    <mergeCell ref="I26:K26"/>
    <mergeCell ref="L26:M26"/>
    <mergeCell ref="L25:M25"/>
    <mergeCell ref="L24:M24"/>
    <mergeCell ref="I24:K24"/>
    <mergeCell ref="D53:E53"/>
    <mergeCell ref="H53:I53"/>
    <mergeCell ref="I52:M52"/>
    <mergeCell ref="D68:E68"/>
    <mergeCell ref="H54:I54"/>
    <mergeCell ref="H66:I66"/>
    <mergeCell ref="H62:I62"/>
    <mergeCell ref="H57:I57"/>
    <mergeCell ref="D52:G52"/>
    <mergeCell ref="H68:I68"/>
    <mergeCell ref="U42:V42"/>
    <mergeCell ref="I51:J51"/>
    <mergeCell ref="L35:M35"/>
    <mergeCell ref="L36:M36"/>
    <mergeCell ref="I42:J42"/>
    <mergeCell ref="L37:M37"/>
    <mergeCell ref="L43:M43"/>
    <mergeCell ref="L48:M48"/>
    <mergeCell ref="L41:M41"/>
    <mergeCell ref="L39:M39"/>
    <mergeCell ref="L40:M40"/>
    <mergeCell ref="H31:H52"/>
    <mergeCell ref="L51:M51"/>
    <mergeCell ref="I41:J41"/>
    <mergeCell ref="L42:M42"/>
    <mergeCell ref="L44:M44"/>
    <mergeCell ref="I11:J11"/>
    <mergeCell ref="T66:U66"/>
    <mergeCell ref="E17:G17"/>
    <mergeCell ref="E18:G18"/>
    <mergeCell ref="I28:K28"/>
    <mergeCell ref="I38:J38"/>
    <mergeCell ref="H63:I63"/>
    <mergeCell ref="H64:I64"/>
    <mergeCell ref="L38:M38"/>
    <mergeCell ref="I43:J43"/>
    <mergeCell ref="I9:J9"/>
    <mergeCell ref="E10:G10"/>
    <mergeCell ref="I10:J10"/>
    <mergeCell ref="E6:G6"/>
    <mergeCell ref="I7:J7"/>
    <mergeCell ref="D8:G8"/>
    <mergeCell ref="I8:J8"/>
    <mergeCell ref="E12:G12"/>
    <mergeCell ref="I12:J12"/>
    <mergeCell ref="E13:G13"/>
    <mergeCell ref="D2:M2"/>
    <mergeCell ref="E3:G3"/>
    <mergeCell ref="I3:M3"/>
    <mergeCell ref="E4:G4"/>
    <mergeCell ref="I4:M5"/>
    <mergeCell ref="E5:G5"/>
    <mergeCell ref="I6:J6"/>
    <mergeCell ref="D20:F20"/>
    <mergeCell ref="I13:J13"/>
    <mergeCell ref="I14:J14"/>
    <mergeCell ref="I15:J15"/>
    <mergeCell ref="I16:J16"/>
    <mergeCell ref="E15:G15"/>
    <mergeCell ref="I20:M20"/>
    <mergeCell ref="D19:M19"/>
    <mergeCell ref="I18:M18"/>
    <mergeCell ref="H80:I80"/>
    <mergeCell ref="H83:I83"/>
    <mergeCell ref="H171:I171"/>
    <mergeCell ref="H82:I82"/>
    <mergeCell ref="H132:I132"/>
    <mergeCell ref="H130:I130"/>
    <mergeCell ref="H131:I131"/>
    <mergeCell ref="H140:I140"/>
    <mergeCell ref="H137:I137"/>
    <mergeCell ref="I149:J149"/>
    <mergeCell ref="D21:M21"/>
    <mergeCell ref="I50:J50"/>
    <mergeCell ref="I32:J32"/>
    <mergeCell ref="L49:M49"/>
    <mergeCell ref="I49:J49"/>
    <mergeCell ref="L46:M46"/>
    <mergeCell ref="I46:J46"/>
    <mergeCell ref="L50:M50"/>
    <mergeCell ref="L45:M45"/>
    <mergeCell ref="L47:M47"/>
    <mergeCell ref="E22:G22"/>
    <mergeCell ref="D28:E28"/>
    <mergeCell ref="H179:I179"/>
    <mergeCell ref="H180:I180"/>
    <mergeCell ref="H58:I58"/>
    <mergeCell ref="H175:I175"/>
    <mergeCell ref="H176:I176"/>
    <mergeCell ref="H173:I173"/>
    <mergeCell ref="H174:I174"/>
    <mergeCell ref="H73:I73"/>
  </mergeCells>
  <dataValidations count="9">
    <dataValidation type="list" allowBlank="1" showInputMessage="1" showErrorMessage="1" sqref="E22">
      <formula1>Traject</formula1>
    </dataValidation>
    <dataValidation type="list" showInputMessage="1" showErrorMessage="1" error="De invoer is niet correct" sqref="F144:G150 G154:G183 F139:F140 F69:H73 G136:G140 L148 F141:G141 F118:K129 F133:K133 F131:H132 J131:K132 I132 L149:M149 L144:M146 L150 F29:F51 X46 M29:M33 W43:X45 F54:G65 L30:L33 H54 F110:F115 L115 M112 L110:L112 L113:M114 F76:H86 F90:H107 F66:H66 H62:H64 H57:H58 I92">
      <formula1>Aantal</formula1>
    </dataValidation>
    <dataValidation type="list" allowBlank="1" showInputMessage="1" showErrorMessage="1" sqref="F154:F183">
      <formula1>Categorie</formula1>
    </dataValidation>
    <dataValidation type="list" allowBlank="1" showInputMessage="1" showErrorMessage="1" sqref="M49 M51 L36:L51 H136:I141 L147:M147 F130:K130">
      <formula1>Aantal</formula1>
    </dataValidation>
    <dataValidation type="list" allowBlank="1" showInputMessage="1" showErrorMessage="1" sqref="E23">
      <formula1>Trajectnr</formula1>
    </dataValidation>
    <dataValidation type="list" allowBlank="1" showInputMessage="1" showErrorMessage="1" sqref="G20">
      <formula1>Dik_alles</formula1>
    </dataValidation>
    <dataValidation type="list" allowBlank="1" showInputMessage="1" showErrorMessage="1" sqref="H154:H183 I154 I160:I183">
      <formula1>Toestand</formula1>
    </dataValidation>
    <dataValidation type="list" showInputMessage="1" showErrorMessage="1" sqref="E154:E183">
      <formula1>Nednaam</formula1>
    </dataValidation>
    <dataValidation type="list" allowBlank="1" showInputMessage="1" showErrorMessage="1" sqref="D154:D183">
      <formula1>Wetnaam</formula1>
    </dataValidation>
  </dataValidations>
  <hyperlinks>
    <hyperlink ref="E6" r:id="rId1" display="http://www.anemoon.org/Projecten/Strand-SMP-KOR/Aanspoelsel-SMP"/>
    <hyperlink ref="E184" r:id="rId2" display="http://www.anemoon.org/Projecten/Strand-SMP-KOR/Aandachtsoorten"/>
  </hyperlinks>
  <printOptions/>
  <pageMargins left="0.3937007874015748" right="0.11811023622047245" top="0.5905511811023623" bottom="0.31496062992125984" header="0.5118110236220472" footer="0"/>
  <pageSetup horizontalDpi="600" verticalDpi="600" orientation="portrait" paperSize="9" scale="64" r:id="rId3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19" sqref="G19:N19"/>
    </sheetView>
  </sheetViews>
  <sheetFormatPr defaultColWidth="9.140625" defaultRowHeight="12.75"/>
  <cols>
    <col min="1" max="1" width="15.7109375" style="0" bestFit="1" customWidth="1"/>
    <col min="4" max="4" width="8.7109375" style="0" bestFit="1" customWidth="1"/>
    <col min="7" max="7" width="9.8515625" style="0" bestFit="1" customWidth="1"/>
    <col min="9" max="9" width="10.7109375" style="0" bestFit="1" customWidth="1"/>
  </cols>
  <sheetData>
    <row r="1" spans="1:15" ht="12.75">
      <c r="A1" t="s">
        <v>844</v>
      </c>
      <c r="D1" t="s">
        <v>853</v>
      </c>
      <c r="G1" t="s">
        <v>857</v>
      </c>
      <c r="I1" t="s">
        <v>854</v>
      </c>
      <c r="K1" t="s">
        <v>893</v>
      </c>
      <c r="M1" s="15" t="s">
        <v>1333</v>
      </c>
      <c r="O1" t="s">
        <v>1388</v>
      </c>
    </row>
    <row r="3" spans="1:15" ht="12.75">
      <c r="A3" t="s">
        <v>850</v>
      </c>
      <c r="B3" t="s">
        <v>1396</v>
      </c>
      <c r="D3" t="s">
        <v>1396</v>
      </c>
      <c r="E3" t="s">
        <v>850</v>
      </c>
      <c r="I3" t="s">
        <v>824</v>
      </c>
      <c r="K3" s="15" t="s">
        <v>892</v>
      </c>
      <c r="M3" s="15" t="s">
        <v>2317</v>
      </c>
      <c r="O3" t="s">
        <v>1389</v>
      </c>
    </row>
    <row r="4" spans="1:15" ht="12.75">
      <c r="A4" t="s">
        <v>851</v>
      </c>
      <c r="B4" t="s">
        <v>1397</v>
      </c>
      <c r="D4" t="s">
        <v>1397</v>
      </c>
      <c r="E4" t="s">
        <v>851</v>
      </c>
      <c r="G4" t="s">
        <v>664</v>
      </c>
      <c r="I4" t="s">
        <v>825</v>
      </c>
      <c r="K4" s="15" t="s">
        <v>891</v>
      </c>
      <c r="M4" t="s">
        <v>1332</v>
      </c>
      <c r="O4" t="s">
        <v>842</v>
      </c>
    </row>
    <row r="5" spans="1:15" ht="12.75">
      <c r="A5" t="s">
        <v>852</v>
      </c>
      <c r="B5" t="s">
        <v>1398</v>
      </c>
      <c r="D5" t="s">
        <v>1398</v>
      </c>
      <c r="E5" t="s">
        <v>852</v>
      </c>
      <c r="G5" t="s">
        <v>676</v>
      </c>
      <c r="I5" t="s">
        <v>826</v>
      </c>
      <c r="O5" t="s">
        <v>836</v>
      </c>
    </row>
    <row r="6" spans="1:9" ht="12.75">
      <c r="A6" s="15" t="s">
        <v>845</v>
      </c>
      <c r="B6" t="s">
        <v>1399</v>
      </c>
      <c r="D6" t="s">
        <v>1399</v>
      </c>
      <c r="E6" s="15" t="s">
        <v>845</v>
      </c>
      <c r="G6" t="s">
        <v>725</v>
      </c>
      <c r="I6" t="s">
        <v>828</v>
      </c>
    </row>
    <row r="7" spans="1:9" ht="12.75">
      <c r="A7" t="s">
        <v>846</v>
      </c>
      <c r="B7" t="s">
        <v>1400</v>
      </c>
      <c r="D7" t="s">
        <v>1400</v>
      </c>
      <c r="E7" t="s">
        <v>846</v>
      </c>
      <c r="G7" t="s">
        <v>675</v>
      </c>
      <c r="I7" t="s">
        <v>829</v>
      </c>
    </row>
    <row r="8" spans="1:9" ht="12.75">
      <c r="A8" t="s">
        <v>847</v>
      </c>
      <c r="B8" t="s">
        <v>1401</v>
      </c>
      <c r="D8" t="s">
        <v>1401</v>
      </c>
      <c r="E8" t="s">
        <v>847</v>
      </c>
      <c r="G8" t="s">
        <v>855</v>
      </c>
      <c r="I8" t="s">
        <v>830</v>
      </c>
    </row>
    <row r="9" spans="1:9" ht="12.75">
      <c r="A9" t="s">
        <v>848</v>
      </c>
      <c r="B9" t="s">
        <v>1402</v>
      </c>
      <c r="D9" t="s">
        <v>1402</v>
      </c>
      <c r="E9" t="s">
        <v>848</v>
      </c>
      <c r="G9" t="s">
        <v>856</v>
      </c>
      <c r="I9" t="s">
        <v>831</v>
      </c>
    </row>
    <row r="10" spans="1:9" ht="12.75">
      <c r="A10" t="s">
        <v>849</v>
      </c>
      <c r="B10" t="s">
        <v>1403</v>
      </c>
      <c r="D10" t="s">
        <v>1403</v>
      </c>
      <c r="E10" t="s">
        <v>849</v>
      </c>
      <c r="G10" t="s">
        <v>1188</v>
      </c>
      <c r="I10" t="s">
        <v>833</v>
      </c>
    </row>
    <row r="11" spans="7:9" ht="12.75">
      <c r="G11" s="15" t="s">
        <v>585</v>
      </c>
      <c r="I11" t="s">
        <v>834</v>
      </c>
    </row>
    <row r="12" ht="12.75">
      <c r="I12" t="s">
        <v>836</v>
      </c>
    </row>
    <row r="13" ht="12.75">
      <c r="I13" t="s">
        <v>838</v>
      </c>
    </row>
    <row r="14" ht="12.75">
      <c r="I14" t="s">
        <v>840</v>
      </c>
    </row>
    <row r="15" ht="12.75">
      <c r="I15" t="s">
        <v>841</v>
      </c>
    </row>
    <row r="16" ht="12.75">
      <c r="I16" t="s">
        <v>842</v>
      </c>
    </row>
    <row r="19" spans="7:14" ht="12.75">
      <c r="G19" t="s">
        <v>664</v>
      </c>
      <c r="H19" t="s">
        <v>676</v>
      </c>
      <c r="I19" t="s">
        <v>725</v>
      </c>
      <c r="J19" t="s">
        <v>675</v>
      </c>
      <c r="K19" t="s">
        <v>855</v>
      </c>
      <c r="L19" t="s">
        <v>856</v>
      </c>
      <c r="M19" t="s">
        <v>1188</v>
      </c>
      <c r="N19" s="15" t="s">
        <v>585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1"/>
  <sheetViews>
    <sheetView zoomScalePageLayoutView="0" workbookViewId="0" topLeftCell="A1">
      <pane ySplit="1" topLeftCell="A380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27.57421875" style="0" bestFit="1" customWidth="1"/>
    <col min="2" max="2" width="41.57421875" style="0" customWidth="1"/>
    <col min="3" max="3" width="11.00390625" style="0" bestFit="1" customWidth="1"/>
  </cols>
  <sheetData>
    <row r="1" spans="1:3" ht="12.75">
      <c r="A1" t="s">
        <v>583</v>
      </c>
      <c r="B1" t="s">
        <v>1154</v>
      </c>
      <c r="C1" t="s">
        <v>584</v>
      </c>
    </row>
    <row r="2" spans="1:3" ht="12.75">
      <c r="A2" s="16" t="s">
        <v>1124</v>
      </c>
      <c r="B2" s="21" t="s">
        <v>1182</v>
      </c>
      <c r="C2">
        <f>+wrnr_1</f>
      </c>
    </row>
    <row r="3" spans="1:3" ht="12.75">
      <c r="A3" s="16" t="s">
        <v>1113</v>
      </c>
      <c r="B3" t="s">
        <v>1180</v>
      </c>
      <c r="C3">
        <f>+wcode1</f>
        <v>0</v>
      </c>
    </row>
    <row r="4" spans="1:3" ht="12.75">
      <c r="A4" s="16" t="s">
        <v>894</v>
      </c>
      <c r="B4" t="s">
        <v>1169</v>
      </c>
      <c r="C4">
        <f>+adres1</f>
      </c>
    </row>
    <row r="5" spans="1:3" ht="12.75">
      <c r="A5" s="16" t="s">
        <v>1151</v>
      </c>
      <c r="B5" s="21" t="s">
        <v>1186</v>
      </c>
      <c r="C5">
        <f>+plaats1</f>
      </c>
    </row>
    <row r="6" spans="1:3" ht="12.75">
      <c r="A6" s="16" t="s">
        <v>1076</v>
      </c>
      <c r="B6" t="s">
        <v>1184</v>
      </c>
      <c r="C6">
        <f>+pstk1</f>
      </c>
    </row>
    <row r="7" spans="1:3" ht="12.75">
      <c r="A7" s="17" t="s">
        <v>1390</v>
      </c>
      <c r="B7" t="s">
        <v>1176</v>
      </c>
      <c r="C7" s="20">
        <f>+_tel1</f>
      </c>
    </row>
    <row r="8" spans="1:3" ht="12.75">
      <c r="A8" s="16" t="s">
        <v>985</v>
      </c>
      <c r="B8" s="21" t="s">
        <v>1174</v>
      </c>
      <c r="C8">
        <f>+Email1</f>
      </c>
    </row>
    <row r="9" spans="1:3" ht="12.75">
      <c r="A9" s="16" t="s">
        <v>1125</v>
      </c>
      <c r="B9" s="21" t="s">
        <v>1183</v>
      </c>
      <c r="C9">
        <f>+wrnr2</f>
      </c>
    </row>
    <row r="10" spans="1:3" ht="12.75">
      <c r="A10" s="16" t="s">
        <v>1114</v>
      </c>
      <c r="B10" t="s">
        <v>1181</v>
      </c>
      <c r="C10">
        <f>+wcode2</f>
        <v>0</v>
      </c>
    </row>
    <row r="11" spans="1:3" ht="12.75">
      <c r="A11" s="17" t="s">
        <v>895</v>
      </c>
      <c r="B11" t="s">
        <v>1170</v>
      </c>
      <c r="C11">
        <f>+adres2</f>
      </c>
    </row>
    <row r="12" spans="1:3" ht="12.75">
      <c r="A12" s="16" t="s">
        <v>1071</v>
      </c>
      <c r="B12" s="21" t="s">
        <v>1187</v>
      </c>
      <c r="C12">
        <f>+plaats2</f>
      </c>
    </row>
    <row r="13" spans="1:3" ht="12.75">
      <c r="A13" s="16" t="s">
        <v>1077</v>
      </c>
      <c r="B13" t="s">
        <v>1185</v>
      </c>
      <c r="C13">
        <f>+pstk2</f>
      </c>
    </row>
    <row r="14" spans="1:3" ht="12.75">
      <c r="A14" s="17" t="s">
        <v>1391</v>
      </c>
      <c r="B14" t="s">
        <v>1177</v>
      </c>
      <c r="C14">
        <f>+_tel2</f>
      </c>
    </row>
    <row r="15" spans="1:3" ht="12.75">
      <c r="A15" s="16" t="s">
        <v>986</v>
      </c>
      <c r="B15" s="21" t="s">
        <v>1175</v>
      </c>
      <c r="C15">
        <f>+email2</f>
      </c>
    </row>
    <row r="16" spans="1:3" ht="12.75">
      <c r="A16" t="s">
        <v>1332</v>
      </c>
      <c r="B16" t="s">
        <v>1374</v>
      </c>
      <c r="C16" t="str">
        <f>+Dik</f>
        <v>Alle</v>
      </c>
    </row>
    <row r="17" spans="1:3" ht="12.75">
      <c r="A17" s="16" t="s">
        <v>1149</v>
      </c>
      <c r="B17" t="s">
        <v>1385</v>
      </c>
      <c r="C17">
        <f>+Loop_traject</f>
        <v>0</v>
      </c>
    </row>
    <row r="18" spans="1:3" ht="12.75">
      <c r="A18" s="16" t="s">
        <v>1110</v>
      </c>
      <c r="B18" t="s">
        <v>1178</v>
      </c>
      <c r="C18">
        <f>+trajnr</f>
      </c>
    </row>
    <row r="19" spans="1:3" ht="12.75">
      <c r="A19" s="16" t="s">
        <v>982</v>
      </c>
      <c r="B19" s="21" t="s">
        <v>1172</v>
      </c>
      <c r="C19" s="18">
        <f>+datum</f>
        <v>0</v>
      </c>
    </row>
    <row r="20" spans="1:3" ht="12.75">
      <c r="A20" s="16" t="s">
        <v>1192</v>
      </c>
      <c r="B20" s="21" t="s">
        <v>1195</v>
      </c>
      <c r="C20">
        <f>YEAR(datum)</f>
        <v>1900</v>
      </c>
    </row>
    <row r="21" spans="1:3" ht="12.75">
      <c r="A21" s="16" t="s">
        <v>1191</v>
      </c>
      <c r="B21" s="21" t="s">
        <v>1194</v>
      </c>
      <c r="C21" s="16">
        <f>MONTH(datum)</f>
        <v>1</v>
      </c>
    </row>
    <row r="22" spans="1:3" ht="12.75">
      <c r="A22" s="16" t="s">
        <v>1190</v>
      </c>
      <c r="B22" s="15" t="s">
        <v>1193</v>
      </c>
      <c r="C22">
        <f>DAY(datum)</f>
        <v>0</v>
      </c>
    </row>
    <row r="23" spans="1:3" ht="12.75">
      <c r="A23" t="s">
        <v>1334</v>
      </c>
      <c r="B23" t="s">
        <v>1372</v>
      </c>
      <c r="C23">
        <f>+Aant_formulieren</f>
        <v>0</v>
      </c>
    </row>
    <row r="24" spans="1:3" ht="12.75">
      <c r="A24" s="16" t="s">
        <v>1381</v>
      </c>
      <c r="B24" t="s">
        <v>1382</v>
      </c>
      <c r="C24" s="19">
        <f>+Begintijd</f>
        <v>0</v>
      </c>
    </row>
    <row r="25" spans="1:3" ht="12.75">
      <c r="A25" s="17" t="s">
        <v>1384</v>
      </c>
      <c r="B25" s="15" t="s">
        <v>1196</v>
      </c>
      <c r="C25" s="162">
        <f>+Eindtijd</f>
        <v>0</v>
      </c>
    </row>
    <row r="26" spans="1:3" ht="12.75">
      <c r="A26" s="16" t="s">
        <v>898</v>
      </c>
      <c r="B26" t="s">
        <v>1171</v>
      </c>
      <c r="C26">
        <f>+afstand</f>
        <v>0</v>
      </c>
    </row>
    <row r="27" spans="1:3" ht="12.75">
      <c r="A27" s="16" t="s">
        <v>1049</v>
      </c>
      <c r="B27" t="s">
        <v>1049</v>
      </c>
      <c r="C27" s="19">
        <f>+laagwater</f>
        <v>0</v>
      </c>
    </row>
    <row r="28" spans="1:3" ht="12.75">
      <c r="A28" s="16" t="s">
        <v>1150</v>
      </c>
      <c r="B28" t="s">
        <v>1383</v>
      </c>
      <c r="C28">
        <f>+minuten</f>
        <v>0</v>
      </c>
    </row>
    <row r="29" spans="1:3" ht="12.75">
      <c r="A29" s="16" t="s">
        <v>1148</v>
      </c>
      <c r="B29" s="21" t="s">
        <v>1173</v>
      </c>
      <c r="C29" s="16">
        <f>+ebtijd</f>
        <v>0</v>
      </c>
    </row>
    <row r="30" spans="1:3" ht="12.75">
      <c r="A30" s="16" t="s">
        <v>1152</v>
      </c>
      <c r="B30" t="s">
        <v>1179</v>
      </c>
      <c r="C30" s="16">
        <f>+vloedtijd</f>
        <v>0</v>
      </c>
    </row>
    <row r="31" spans="1:3" ht="12.75">
      <c r="A31" s="16" t="s">
        <v>868</v>
      </c>
      <c r="B31" t="s">
        <v>827</v>
      </c>
      <c r="C31">
        <f>+Afgeknotte_strandgaper</f>
        <v>0</v>
      </c>
    </row>
    <row r="32" spans="1:3" ht="12.75">
      <c r="A32" s="16" t="s">
        <v>896</v>
      </c>
      <c r="B32" t="s">
        <v>1155</v>
      </c>
      <c r="C32">
        <f>+Afgeknotte_strandgaper_d</f>
        <v>0</v>
      </c>
    </row>
    <row r="33" spans="1:3" ht="12.75">
      <c r="A33" s="16" t="s">
        <v>897</v>
      </c>
      <c r="B33" t="s">
        <v>1156</v>
      </c>
      <c r="C33">
        <f>+Afgeknotte_strandgaper_v</f>
        <v>0</v>
      </c>
    </row>
    <row r="34" spans="1:3" ht="12.75">
      <c r="A34" s="16" t="s">
        <v>870</v>
      </c>
      <c r="B34" t="s">
        <v>827</v>
      </c>
      <c r="C34">
        <f>+Amerikaanse_boormossel</f>
        <v>0</v>
      </c>
    </row>
    <row r="35" spans="1:3" ht="12.75">
      <c r="A35" s="16" t="s">
        <v>899</v>
      </c>
      <c r="B35" t="s">
        <v>1155</v>
      </c>
      <c r="C35">
        <f>+Amerikaanse_boormossel_d</f>
        <v>0</v>
      </c>
    </row>
    <row r="36" spans="1:3" ht="12.75">
      <c r="A36" s="16" t="s">
        <v>900</v>
      </c>
      <c r="B36" t="s">
        <v>1156</v>
      </c>
      <c r="C36">
        <f>+Amerikaanse_boormossel_v</f>
        <v>0</v>
      </c>
    </row>
    <row r="37" spans="1:3" ht="12.75">
      <c r="A37" s="16" t="s">
        <v>901</v>
      </c>
      <c r="B37" t="s">
        <v>1167</v>
      </c>
      <c r="C37">
        <f>+Amerikaanse_ribkwal</f>
        <v>0</v>
      </c>
    </row>
    <row r="38" spans="1:3" ht="12.75">
      <c r="A38" s="17" t="s">
        <v>861</v>
      </c>
      <c r="B38" t="s">
        <v>827</v>
      </c>
      <c r="C38">
        <f>+Amerikaanse_zwaardschede</f>
        <v>0</v>
      </c>
    </row>
    <row r="39" spans="1:3" ht="12.75">
      <c r="A39" s="16" t="s">
        <v>902</v>
      </c>
      <c r="B39" t="s">
        <v>1155</v>
      </c>
      <c r="C39">
        <f>+Amerikaanse_zwaardschede_d</f>
        <v>0</v>
      </c>
    </row>
    <row r="40" spans="1:3" ht="12.75">
      <c r="A40" s="16" t="s">
        <v>903</v>
      </c>
      <c r="B40" t="s">
        <v>1156</v>
      </c>
      <c r="C40">
        <f>+Amerikaanse_zwaardschede_v</f>
        <v>0</v>
      </c>
    </row>
    <row r="41" spans="1:3" ht="12.75">
      <c r="A41" s="16" t="s">
        <v>774</v>
      </c>
      <c r="B41" s="21" t="s">
        <v>761</v>
      </c>
      <c r="C41">
        <f>+Blaasjeskrab</f>
        <v>0</v>
      </c>
    </row>
    <row r="42" spans="1:3" ht="12.75">
      <c r="A42" s="16" t="s">
        <v>969</v>
      </c>
      <c r="B42" s="21" t="s">
        <v>1161</v>
      </c>
      <c r="C42">
        <f>+Blaasjeskrab_d</f>
        <v>0</v>
      </c>
    </row>
    <row r="43" spans="1:3" ht="12.75">
      <c r="A43" s="16" t="s">
        <v>970</v>
      </c>
      <c r="B43" s="21" t="s">
        <v>1162</v>
      </c>
      <c r="C43">
        <f>+Blaasjeskrab_ei</f>
        <v>0</v>
      </c>
    </row>
    <row r="44" spans="1:3" ht="12.75">
      <c r="A44" s="16" t="s">
        <v>971</v>
      </c>
      <c r="B44" s="21" t="s">
        <v>1163</v>
      </c>
      <c r="C44">
        <f>+Blaasjeskrab_l</f>
        <v>0</v>
      </c>
    </row>
    <row r="45" spans="1:3" ht="12.75">
      <c r="A45" s="16" t="s">
        <v>972</v>
      </c>
      <c r="B45" s="21" t="s">
        <v>1164</v>
      </c>
      <c r="C45">
        <f>+Blaasjeskrab_v</f>
        <v>0</v>
      </c>
    </row>
    <row r="46" spans="1:3" ht="12.75">
      <c r="A46" s="16" t="s">
        <v>654</v>
      </c>
      <c r="B46" s="15" t="s">
        <v>1167</v>
      </c>
      <c r="C46">
        <f>+Blaaswier</f>
        <v>0</v>
      </c>
    </row>
    <row r="47" spans="1:3" ht="12.75">
      <c r="A47" s="16" t="s">
        <v>973</v>
      </c>
      <c r="B47" s="21" t="s">
        <v>1167</v>
      </c>
      <c r="C47">
        <f>+Blauwe_haarkwal</f>
        <v>0</v>
      </c>
    </row>
    <row r="48" spans="1:3" ht="12.75">
      <c r="A48" s="16" t="s">
        <v>884</v>
      </c>
      <c r="B48" s="21" t="s">
        <v>1167</v>
      </c>
      <c r="C48">
        <f>+Blonde_rog</f>
        <v>0</v>
      </c>
    </row>
    <row r="49" spans="1:3" ht="12.75">
      <c r="A49" s="16" t="s">
        <v>974</v>
      </c>
      <c r="B49" t="s">
        <v>1166</v>
      </c>
      <c r="C49">
        <f>+Blonde_rog_e</f>
        <v>0</v>
      </c>
    </row>
    <row r="50" spans="1:3" ht="12.75">
      <c r="A50" s="16" t="s">
        <v>889</v>
      </c>
      <c r="B50" s="21" t="s">
        <v>1167</v>
      </c>
      <c r="C50">
        <f>+Brakwater_zeepok</f>
        <v>0</v>
      </c>
    </row>
    <row r="51" spans="1:3" ht="12.75">
      <c r="A51" s="16" t="s">
        <v>864</v>
      </c>
      <c r="B51" t="s">
        <v>827</v>
      </c>
      <c r="C51">
        <f>+Brede_kleine_zwaardschede</f>
        <v>0</v>
      </c>
    </row>
    <row r="52" spans="1:3" ht="12.75">
      <c r="A52" s="16" t="s">
        <v>975</v>
      </c>
      <c r="B52" t="s">
        <v>1155</v>
      </c>
      <c r="C52">
        <f>+Brede_kleine_zwaardschede_d</f>
        <v>0</v>
      </c>
    </row>
    <row r="53" spans="1:3" ht="12.75">
      <c r="A53" s="16" t="s">
        <v>1146</v>
      </c>
      <c r="B53" t="s">
        <v>1156</v>
      </c>
      <c r="C53">
        <f>+Brede_kleine_zwaardschede_v</f>
        <v>0</v>
      </c>
    </row>
    <row r="54" spans="1:3" ht="12.75">
      <c r="A54" t="s">
        <v>1266</v>
      </c>
      <c r="B54" s="15" t="s">
        <v>1373</v>
      </c>
      <c r="C54">
        <f>+Breedbladigmosdiertje</f>
        <v>0</v>
      </c>
    </row>
    <row r="55" spans="1:3" ht="12.75">
      <c r="A55" s="16" t="s">
        <v>781</v>
      </c>
      <c r="B55" s="15" t="s">
        <v>761</v>
      </c>
      <c r="C55">
        <f>+Breedpootkrab</f>
        <v>0</v>
      </c>
    </row>
    <row r="56" spans="1:3" ht="12.75">
      <c r="A56" s="16" t="s">
        <v>976</v>
      </c>
      <c r="B56" s="21" t="s">
        <v>1161</v>
      </c>
      <c r="C56">
        <f>+Breedpootkrab_d</f>
        <v>0</v>
      </c>
    </row>
    <row r="57" spans="1:3" ht="12.75">
      <c r="A57" s="16" t="s">
        <v>977</v>
      </c>
      <c r="B57" s="21" t="s">
        <v>1162</v>
      </c>
      <c r="C57">
        <f>+Breedpootkrab_ei</f>
        <v>0</v>
      </c>
    </row>
    <row r="58" spans="1:3" ht="12.75">
      <c r="A58" s="16" t="s">
        <v>978</v>
      </c>
      <c r="B58" s="21" t="s">
        <v>1163</v>
      </c>
      <c r="C58">
        <f>+Breedpootkrab_l</f>
        <v>0</v>
      </c>
    </row>
    <row r="59" spans="1:3" ht="12.75">
      <c r="A59" s="16" t="s">
        <v>979</v>
      </c>
      <c r="B59" s="21" t="s">
        <v>1164</v>
      </c>
      <c r="C59">
        <f>+Breedpootkrab_v</f>
        <v>0</v>
      </c>
    </row>
    <row r="60" spans="1:3" ht="12.75">
      <c r="A60" s="16" t="s">
        <v>980</v>
      </c>
      <c r="B60" s="21" t="s">
        <v>1163</v>
      </c>
      <c r="C60">
        <f>+Brokkelster_l</f>
        <v>0</v>
      </c>
    </row>
    <row r="61" spans="1:3" ht="12.75">
      <c r="A61" s="16" t="s">
        <v>981</v>
      </c>
      <c r="B61" s="21" t="s">
        <v>1156</v>
      </c>
      <c r="C61">
        <f>+Brokkelster_v</f>
        <v>0</v>
      </c>
    </row>
    <row r="62" spans="1:3" ht="12.75">
      <c r="A62" s="15" t="s">
        <v>1335</v>
      </c>
      <c r="B62" t="s">
        <v>1335</v>
      </c>
      <c r="C62">
        <f>+Bruine_zeevinger</f>
        <v>0</v>
      </c>
    </row>
    <row r="63" spans="1:3" ht="12.75">
      <c r="A63" s="16" t="s">
        <v>1147</v>
      </c>
      <c r="B63" s="21" t="s">
        <v>1167</v>
      </c>
      <c r="C63">
        <f>+Darmwier</f>
        <v>0</v>
      </c>
    </row>
    <row r="64" spans="1:3" ht="12.75">
      <c r="A64" s="16" t="s">
        <v>886</v>
      </c>
      <c r="B64" s="21" t="s">
        <v>1167</v>
      </c>
      <c r="C64">
        <f>+Doorschijn._zeevinger</f>
        <v>0</v>
      </c>
    </row>
    <row r="65" spans="1:3" ht="12.75">
      <c r="A65" s="16" t="s">
        <v>705</v>
      </c>
      <c r="B65" s="21" t="s">
        <v>1167</v>
      </c>
      <c r="C65">
        <f>+Dwergpijlinktvis</f>
        <v>0</v>
      </c>
    </row>
    <row r="66" spans="1:3" ht="12.75">
      <c r="A66" s="16" t="s">
        <v>983</v>
      </c>
      <c r="B66" s="21" t="s">
        <v>1168</v>
      </c>
      <c r="C66">
        <f>+Dwergpijlinktvis_ei</f>
        <v>0</v>
      </c>
    </row>
    <row r="67" spans="1:3" ht="12.75">
      <c r="A67" s="16" t="s">
        <v>984</v>
      </c>
      <c r="B67" s="21" t="s">
        <v>1156</v>
      </c>
      <c r="C67">
        <f>+Dwergpijlinktvis_v</f>
        <v>0</v>
      </c>
    </row>
    <row r="68" spans="1:3" ht="12.75">
      <c r="A68" s="16" t="s">
        <v>757</v>
      </c>
      <c r="B68" s="21" t="s">
        <v>1167</v>
      </c>
      <c r="C68">
        <f>+Eendenmossel</f>
        <v>0</v>
      </c>
    </row>
    <row r="69" spans="1:3" ht="12.75">
      <c r="A69" t="s">
        <v>1392</v>
      </c>
      <c r="B69" t="s">
        <v>1167</v>
      </c>
      <c r="C69">
        <f>+Fijn_kantmosdiertje</f>
        <v>0</v>
      </c>
    </row>
    <row r="70" spans="1:3" ht="12.75">
      <c r="A70" t="s">
        <v>1366</v>
      </c>
      <c r="B70" t="s">
        <v>1156</v>
      </c>
      <c r="C70">
        <f>+Fluwelen_zeemuis_v</f>
        <v>0</v>
      </c>
    </row>
    <row r="71" spans="1:3" ht="12.75">
      <c r="A71" s="16" t="s">
        <v>881</v>
      </c>
      <c r="B71" s="21" t="s">
        <v>761</v>
      </c>
      <c r="C71">
        <f>+Fluwelen_zwemkrab</f>
        <v>0</v>
      </c>
    </row>
    <row r="72" spans="1:3" ht="12.75">
      <c r="A72" s="16" t="s">
        <v>987</v>
      </c>
      <c r="B72" s="21" t="s">
        <v>1161</v>
      </c>
      <c r="C72">
        <f>+Fluwelen_zwemkrab_d</f>
        <v>0</v>
      </c>
    </row>
    <row r="73" spans="1:3" ht="12.75">
      <c r="A73" s="16" t="s">
        <v>988</v>
      </c>
      <c r="B73" s="21" t="s">
        <v>1162</v>
      </c>
      <c r="C73">
        <f>+Fluwelen_zwemkrab_ei</f>
        <v>0</v>
      </c>
    </row>
    <row r="74" spans="1:3" ht="12.75">
      <c r="A74" s="16" t="s">
        <v>989</v>
      </c>
      <c r="B74" s="21" t="s">
        <v>1163</v>
      </c>
      <c r="C74">
        <f>+Fluwelen_zwemkrab_l</f>
        <v>0</v>
      </c>
    </row>
    <row r="75" spans="1:3" ht="12.75">
      <c r="A75" s="16" t="s">
        <v>990</v>
      </c>
      <c r="B75" s="21" t="s">
        <v>1164</v>
      </c>
      <c r="C75">
        <f>+Fluwelen_zwemkrab_v</f>
        <v>0</v>
      </c>
    </row>
    <row r="76" spans="1:3" ht="12.75">
      <c r="A76" s="16" t="s">
        <v>648</v>
      </c>
      <c r="B76" t="s">
        <v>1167</v>
      </c>
      <c r="C76">
        <f>+Gaffelwier</f>
        <v>0</v>
      </c>
    </row>
    <row r="77" spans="1:3" ht="12.75">
      <c r="A77" t="s">
        <v>1336</v>
      </c>
      <c r="B77" t="s">
        <v>1167</v>
      </c>
      <c r="C77">
        <f>+Geaderde_stekelhoren</f>
        <v>0</v>
      </c>
    </row>
    <row r="78" spans="1:3" ht="12.75">
      <c r="A78" t="s">
        <v>1337</v>
      </c>
      <c r="B78" t="s">
        <v>1168</v>
      </c>
      <c r="C78">
        <f>+Geaderde_stekelhoren_ei</f>
        <v>0</v>
      </c>
    </row>
    <row r="79" spans="1:3" ht="12.75">
      <c r="A79" t="s">
        <v>1338</v>
      </c>
      <c r="B79" t="s">
        <v>1163</v>
      </c>
      <c r="C79">
        <f>+Geaderde_stekelhoren_l</f>
        <v>0</v>
      </c>
    </row>
    <row r="80" spans="1:3" ht="12.75">
      <c r="A80" s="16" t="s">
        <v>991</v>
      </c>
      <c r="B80" s="21" t="s">
        <v>1167</v>
      </c>
      <c r="C80">
        <f>+Gedoornde_zeekat</f>
        <v>0</v>
      </c>
    </row>
    <row r="81" spans="1:3" ht="12.75">
      <c r="A81" s="16" t="s">
        <v>992</v>
      </c>
      <c r="B81" s="21" t="s">
        <v>1168</v>
      </c>
      <c r="C81">
        <f>+Gedoornde_zeekat_ei</f>
        <v>0</v>
      </c>
    </row>
    <row r="82" spans="1:3" ht="12.75">
      <c r="A82" s="16" t="s">
        <v>993</v>
      </c>
      <c r="B82" s="21" t="s">
        <v>1156</v>
      </c>
      <c r="C82">
        <f>+Gedoornde_zeekat_v</f>
        <v>0</v>
      </c>
    </row>
    <row r="83" spans="1:3" ht="12.75">
      <c r="A83" s="17" t="s">
        <v>1339</v>
      </c>
      <c r="B83" s="21" t="s">
        <v>1167</v>
      </c>
      <c r="C83">
        <f>+Gedraaide_zeedraad_k</f>
        <v>0</v>
      </c>
    </row>
    <row r="84" spans="1:3" ht="12.75">
      <c r="A84" t="s">
        <v>1340</v>
      </c>
      <c r="B84" t="s">
        <v>1167</v>
      </c>
      <c r="C84">
        <f>+Gekartelde_zeepok</f>
        <v>0</v>
      </c>
    </row>
    <row r="85" spans="1:3" ht="12.75">
      <c r="A85" t="s">
        <v>1341</v>
      </c>
      <c r="B85" t="s">
        <v>1373</v>
      </c>
      <c r="C85">
        <f>+Geknoopte_zeedraad_k</f>
        <v>0</v>
      </c>
    </row>
    <row r="86" spans="1:3" ht="12.75">
      <c r="A86" s="15" t="s">
        <v>1342</v>
      </c>
      <c r="B86" t="s">
        <v>1373</v>
      </c>
      <c r="C86">
        <f>+Gekromde_zeeborstel_k</f>
        <v>0</v>
      </c>
    </row>
    <row r="87" spans="1:3" ht="12.75">
      <c r="A87" t="s">
        <v>1343</v>
      </c>
      <c r="B87" t="s">
        <v>1167</v>
      </c>
      <c r="C87">
        <f>+Gele_haarkwal</f>
        <v>0</v>
      </c>
    </row>
    <row r="88" spans="1:3" ht="12.75">
      <c r="A88" s="16" t="s">
        <v>880</v>
      </c>
      <c r="B88" s="21" t="s">
        <v>761</v>
      </c>
      <c r="C88">
        <f>+Gemarmerde_zwemkrab</f>
        <v>0</v>
      </c>
    </row>
    <row r="89" spans="1:3" ht="12.75">
      <c r="A89" s="16" t="s">
        <v>994</v>
      </c>
      <c r="B89" s="21" t="s">
        <v>1161</v>
      </c>
      <c r="C89">
        <f>+Gemarmerde_zwemkrab_d</f>
        <v>0</v>
      </c>
    </row>
    <row r="90" spans="1:3" ht="12.75">
      <c r="A90" s="16" t="s">
        <v>995</v>
      </c>
      <c r="B90" s="21" t="s">
        <v>1162</v>
      </c>
      <c r="C90">
        <f>+Gemarmerde_zwemkrab_ei</f>
        <v>0</v>
      </c>
    </row>
    <row r="91" spans="1:3" ht="12.75">
      <c r="A91" s="16" t="s">
        <v>996</v>
      </c>
      <c r="B91" s="21" t="s">
        <v>1163</v>
      </c>
      <c r="C91">
        <f>+Gemarmerde_zwemkrab_l</f>
        <v>0</v>
      </c>
    </row>
    <row r="92" spans="1:3" ht="12.75">
      <c r="A92" s="16" t="s">
        <v>997</v>
      </c>
      <c r="B92" s="21" t="s">
        <v>1164</v>
      </c>
      <c r="C92">
        <f>+Gemarmerde_zwemkrab_v</f>
        <v>0</v>
      </c>
    </row>
    <row r="93" spans="1:3" ht="12.75">
      <c r="A93" s="16" t="s">
        <v>885</v>
      </c>
      <c r="B93" s="21" t="s">
        <v>1167</v>
      </c>
      <c r="C93">
        <f>+Gevlekte_rog</f>
        <v>0</v>
      </c>
    </row>
    <row r="94" spans="1:3" ht="12.75">
      <c r="A94" s="16" t="s">
        <v>998</v>
      </c>
      <c r="B94" s="21" t="s">
        <v>1166</v>
      </c>
      <c r="C94">
        <f>+Gevlekte_rog_e</f>
        <v>0</v>
      </c>
    </row>
    <row r="95" spans="1:3" ht="12.75">
      <c r="A95" s="16" t="s">
        <v>999</v>
      </c>
      <c r="B95" s="21" t="s">
        <v>1167</v>
      </c>
      <c r="C95">
        <f>+Gevlochten_fuikhoren</f>
        <v>0</v>
      </c>
    </row>
    <row r="96" spans="1:3" ht="12.75">
      <c r="A96" s="16" t="s">
        <v>1000</v>
      </c>
      <c r="B96" s="21" t="s">
        <v>1162</v>
      </c>
      <c r="C96" s="16">
        <f>Gevlochten_fuikhoren_ei</f>
        <v>0</v>
      </c>
    </row>
    <row r="97" spans="1:3" ht="12.75">
      <c r="A97" s="16" t="s">
        <v>1001</v>
      </c>
      <c r="B97" s="21" t="s">
        <v>1163</v>
      </c>
      <c r="C97">
        <f>+Gevlochten_fuikhoren_l</f>
        <v>0</v>
      </c>
    </row>
    <row r="98" spans="1:3" ht="12.75">
      <c r="A98" s="16" t="s">
        <v>887</v>
      </c>
      <c r="B98" t="s">
        <v>1167</v>
      </c>
      <c r="C98">
        <f>+Gew._zeepissebed</f>
        <v>0</v>
      </c>
    </row>
    <row r="99" spans="1:3" ht="12.75">
      <c r="A99" s="16" t="s">
        <v>878</v>
      </c>
      <c r="B99" s="21" t="s">
        <v>761</v>
      </c>
      <c r="C99">
        <f>+Gewimperde_zwemkrab</f>
        <v>0</v>
      </c>
    </row>
    <row r="100" spans="1:3" ht="12.75">
      <c r="A100" s="16" t="s">
        <v>1002</v>
      </c>
      <c r="B100" s="21" t="s">
        <v>1161</v>
      </c>
      <c r="C100">
        <f>+Gewimperde_zwemkrab_d</f>
        <v>0</v>
      </c>
    </row>
    <row r="101" spans="1:3" ht="12.75">
      <c r="A101" s="16" t="s">
        <v>1003</v>
      </c>
      <c r="B101" s="21" t="s">
        <v>1162</v>
      </c>
      <c r="C101">
        <f>+Gewimperde_zwemkrab_ei</f>
        <v>0</v>
      </c>
    </row>
    <row r="102" spans="1:3" ht="12.75">
      <c r="A102" s="16" t="s">
        <v>1004</v>
      </c>
      <c r="B102" s="21" t="s">
        <v>1163</v>
      </c>
      <c r="C102">
        <f>+Gewimperde_zwemkrab_l</f>
        <v>0</v>
      </c>
    </row>
    <row r="103" spans="1:3" ht="12.75">
      <c r="A103" s="16" t="s">
        <v>1005</v>
      </c>
      <c r="B103" s="21" t="s">
        <v>1164</v>
      </c>
      <c r="C103">
        <f>+Gewimperde_zwemkrab_v</f>
        <v>0</v>
      </c>
    </row>
    <row r="104" spans="1:3" ht="12.75">
      <c r="A104" s="16" t="s">
        <v>1006</v>
      </c>
      <c r="B104" s="21" t="s">
        <v>1167</v>
      </c>
      <c r="C104">
        <f>+Gewone_alikruik</f>
        <v>0</v>
      </c>
    </row>
    <row r="105" spans="1:3" ht="12.75">
      <c r="A105" s="16" t="s">
        <v>1007</v>
      </c>
      <c r="B105" s="21" t="s">
        <v>1163</v>
      </c>
      <c r="C105">
        <f>+Gewone_alikruik_l</f>
        <v>0</v>
      </c>
    </row>
    <row r="106" spans="1:3" ht="12.75">
      <c r="A106" s="16" t="s">
        <v>877</v>
      </c>
      <c r="B106" s="21" t="s">
        <v>761</v>
      </c>
      <c r="C106">
        <f>+Gewone_garnaal</f>
        <v>0</v>
      </c>
    </row>
    <row r="107" spans="1:3" ht="12.75">
      <c r="A107" s="16" t="s">
        <v>1008</v>
      </c>
      <c r="B107" s="21" t="s">
        <v>1161</v>
      </c>
      <c r="C107">
        <f>+Gewone_garnaal_d</f>
        <v>0</v>
      </c>
    </row>
    <row r="108" spans="1:3" ht="12.75">
      <c r="A108" s="16" t="s">
        <v>1009</v>
      </c>
      <c r="B108" s="21" t="s">
        <v>1162</v>
      </c>
      <c r="C108">
        <f>+Gewone_garnaal_ei</f>
        <v>0</v>
      </c>
    </row>
    <row r="109" spans="1:3" ht="12.75">
      <c r="A109" s="16" t="s">
        <v>1010</v>
      </c>
      <c r="B109" s="21" t="s">
        <v>1163</v>
      </c>
      <c r="C109">
        <f>+Gewone_garnaal_l</f>
        <v>0</v>
      </c>
    </row>
    <row r="110" spans="1:3" ht="12.75">
      <c r="A110" s="16" t="s">
        <v>1011</v>
      </c>
      <c r="B110" s="21" t="s">
        <v>1164</v>
      </c>
      <c r="C110">
        <f>+Gewone_garnaal_v</f>
        <v>0</v>
      </c>
    </row>
    <row r="111" spans="1:3" ht="12.75">
      <c r="A111" s="16" t="s">
        <v>883</v>
      </c>
      <c r="B111" s="21" t="s">
        <v>761</v>
      </c>
      <c r="C111">
        <f>+Gewone_heremietkreeft</f>
        <v>0</v>
      </c>
    </row>
    <row r="112" spans="1:3" ht="12.75">
      <c r="A112" s="16" t="s">
        <v>1012</v>
      </c>
      <c r="B112" s="21" t="s">
        <v>1161</v>
      </c>
      <c r="C112">
        <f>+Gewone_heremietkreeft_d</f>
        <v>0</v>
      </c>
    </row>
    <row r="113" spans="1:3" ht="12.75">
      <c r="A113" s="16" t="s">
        <v>1013</v>
      </c>
      <c r="B113" s="21" t="s">
        <v>1162</v>
      </c>
      <c r="C113">
        <f>+Gewone_heremietkreeft_ei</f>
        <v>0</v>
      </c>
    </row>
    <row r="114" spans="1:3" ht="12.75">
      <c r="A114" s="16" t="s">
        <v>1014</v>
      </c>
      <c r="B114" s="21" t="s">
        <v>1163</v>
      </c>
      <c r="C114">
        <f>+Gewone_heremietkreeft_l</f>
        <v>0</v>
      </c>
    </row>
    <row r="115" spans="1:3" ht="12.75">
      <c r="A115" s="16" t="s">
        <v>1015</v>
      </c>
      <c r="B115" s="21" t="s">
        <v>1164</v>
      </c>
      <c r="C115">
        <f>+Gewone_heremietkreeft_v</f>
        <v>0</v>
      </c>
    </row>
    <row r="116" spans="1:3" ht="12.75">
      <c r="A116" s="16" t="s">
        <v>888</v>
      </c>
      <c r="B116" t="s">
        <v>1167</v>
      </c>
      <c r="C116">
        <f>+Gewone_zeepok</f>
        <v>0</v>
      </c>
    </row>
    <row r="117" spans="1:3" ht="12.75">
      <c r="A117" s="16" t="s">
        <v>879</v>
      </c>
      <c r="B117" s="21" t="s">
        <v>761</v>
      </c>
      <c r="C117">
        <f>+Gewone_zwemkrab</f>
        <v>0</v>
      </c>
    </row>
    <row r="118" spans="1:3" ht="12.75">
      <c r="A118" s="16" t="s">
        <v>1016</v>
      </c>
      <c r="B118" s="21" t="s">
        <v>1161</v>
      </c>
      <c r="C118">
        <f>+Gewone_zwemkrab_d</f>
        <v>0</v>
      </c>
    </row>
    <row r="119" spans="1:3" ht="12.75">
      <c r="A119" s="16" t="s">
        <v>1017</v>
      </c>
      <c r="B119" s="21" t="s">
        <v>1162</v>
      </c>
      <c r="C119">
        <f>+Gewone_zwemkrab_ei</f>
        <v>0</v>
      </c>
    </row>
    <row r="120" spans="1:3" ht="12.75">
      <c r="A120" s="16" t="s">
        <v>1018</v>
      </c>
      <c r="B120" s="21" t="s">
        <v>1163</v>
      </c>
      <c r="C120">
        <f>+Gewone_zwemkrab_l</f>
        <v>0</v>
      </c>
    </row>
    <row r="121" spans="1:3" ht="12.75">
      <c r="A121" s="16" t="s">
        <v>1019</v>
      </c>
      <c r="B121" s="21" t="s">
        <v>1164</v>
      </c>
      <c r="C121">
        <f>+Gewone_zwemkrab_v</f>
        <v>0</v>
      </c>
    </row>
    <row r="122" spans="1:3" ht="12.75">
      <c r="A122" s="16" t="s">
        <v>1144</v>
      </c>
      <c r="B122" t="s">
        <v>1167</v>
      </c>
      <c r="C122">
        <f>+Gezaagde_zee_eik</f>
        <v>0</v>
      </c>
    </row>
    <row r="123" spans="1:3" ht="12.75">
      <c r="A123" t="s">
        <v>1344</v>
      </c>
      <c r="B123" t="s">
        <v>1167</v>
      </c>
      <c r="C123">
        <f>+Glad_porseleinkrabbetje</f>
        <v>0</v>
      </c>
    </row>
    <row r="124" spans="1:3" ht="12.75">
      <c r="A124" t="s">
        <v>1345</v>
      </c>
      <c r="B124" t="s">
        <v>1161</v>
      </c>
      <c r="C124">
        <f>+Glad_porseleinkrabbetje_d</f>
        <v>0</v>
      </c>
    </row>
    <row r="125" spans="1:3" ht="12.75">
      <c r="A125" t="s">
        <v>1346</v>
      </c>
      <c r="B125" t="s">
        <v>1162</v>
      </c>
      <c r="C125">
        <f>+Glad_porseleinkrabbetje_ei</f>
        <v>0</v>
      </c>
    </row>
    <row r="126" spans="1:3" ht="12.75">
      <c r="A126" t="s">
        <v>1347</v>
      </c>
      <c r="B126" t="s">
        <v>1163</v>
      </c>
      <c r="C126">
        <f>+Glad_porseleinkrabbetje_l</f>
        <v>0</v>
      </c>
    </row>
    <row r="127" spans="1:3" ht="12.75">
      <c r="A127" t="s">
        <v>1348</v>
      </c>
      <c r="B127" t="s">
        <v>1164</v>
      </c>
      <c r="C127">
        <f>+Glad_porseleinkrabbetje_v</f>
        <v>0</v>
      </c>
    </row>
    <row r="128" spans="1:3" ht="12.75">
      <c r="A128" s="16" t="s">
        <v>1020</v>
      </c>
      <c r="B128" s="21" t="s">
        <v>1167</v>
      </c>
      <c r="C128">
        <f>+Glanzende_tepelhoren</f>
        <v>0</v>
      </c>
    </row>
    <row r="129" spans="1:3" ht="12.75">
      <c r="A129" t="s">
        <v>1367</v>
      </c>
      <c r="B129" t="s">
        <v>1162</v>
      </c>
      <c r="C129">
        <f>+Glanzende_tepelhoren_ei</f>
        <v>0</v>
      </c>
    </row>
    <row r="130" spans="1:3" ht="12.75">
      <c r="A130" s="16" t="s">
        <v>1021</v>
      </c>
      <c r="B130" s="21" t="s">
        <v>1163</v>
      </c>
      <c r="C130">
        <f>+Glanzende_tepelhoren_l</f>
        <v>0</v>
      </c>
    </row>
    <row r="131" spans="1:3" ht="12.75">
      <c r="A131" s="17" t="s">
        <v>1349</v>
      </c>
      <c r="B131" t="s">
        <v>1167</v>
      </c>
      <c r="C131">
        <f>+Gorgelpijppoliep_k</f>
        <v>0</v>
      </c>
    </row>
    <row r="132" spans="1:3" ht="12.75">
      <c r="A132" s="16" t="s">
        <v>679</v>
      </c>
      <c r="B132" t="s">
        <v>1167</v>
      </c>
      <c r="C132">
        <f>+Goudkammetje</f>
        <v>0</v>
      </c>
    </row>
    <row r="133" spans="1:3" ht="12.75">
      <c r="A133" s="17" t="s">
        <v>1368</v>
      </c>
      <c r="B133" t="s">
        <v>1164</v>
      </c>
      <c r="C133">
        <f>+Goudkammetje_v</f>
        <v>0</v>
      </c>
    </row>
    <row r="134" spans="1:3" ht="12.75">
      <c r="A134" t="s">
        <v>1350</v>
      </c>
      <c r="B134" t="s">
        <v>1167</v>
      </c>
      <c r="C134">
        <f>+Grofgeribde_fuikhoren</f>
        <v>0</v>
      </c>
    </row>
    <row r="135" spans="1:3" ht="12.75">
      <c r="A135" t="s">
        <v>1351</v>
      </c>
      <c r="B135" t="s">
        <v>1162</v>
      </c>
      <c r="C135">
        <f>+Grofgeribde_fuikhoren_ei</f>
        <v>0</v>
      </c>
    </row>
    <row r="136" spans="1:3" ht="12.75">
      <c r="A136" t="s">
        <v>1352</v>
      </c>
      <c r="B136" t="s">
        <v>1163</v>
      </c>
      <c r="C136">
        <f>+Grofgeribde_fuikhoren_l</f>
        <v>0</v>
      </c>
    </row>
    <row r="137" spans="1:3" ht="12.75">
      <c r="A137" s="16" t="s">
        <v>866</v>
      </c>
      <c r="B137" t="s">
        <v>827</v>
      </c>
      <c r="C137">
        <f>+Groot_tafelmesheft</f>
        <v>0</v>
      </c>
    </row>
    <row r="138" spans="1:3" ht="12.75">
      <c r="A138" s="16" t="s">
        <v>1022</v>
      </c>
      <c r="B138" t="s">
        <v>1155</v>
      </c>
      <c r="C138">
        <f>+Groot_tafelmesheft_d</f>
        <v>0</v>
      </c>
    </row>
    <row r="139" spans="1:3" ht="12.75">
      <c r="A139" s="16" t="s">
        <v>1023</v>
      </c>
      <c r="B139" t="s">
        <v>1156</v>
      </c>
      <c r="C139">
        <f>+Groot_tafelmesheft_v</f>
        <v>0</v>
      </c>
    </row>
    <row r="140" spans="1:3" ht="12.75">
      <c r="A140" s="16" t="s">
        <v>806</v>
      </c>
      <c r="B140" s="21" t="s">
        <v>1167</v>
      </c>
      <c r="C140">
        <f>+Grootoogrog</f>
        <v>0</v>
      </c>
    </row>
    <row r="141" spans="1:3" ht="12.75">
      <c r="A141" s="16" t="s">
        <v>1024</v>
      </c>
      <c r="B141" s="21" t="s">
        <v>1166</v>
      </c>
      <c r="C141">
        <f>+Grootoogrog_e</f>
        <v>0</v>
      </c>
    </row>
    <row r="142" spans="1:3" ht="12.75">
      <c r="A142" s="16" t="s">
        <v>867</v>
      </c>
      <c r="B142" t="s">
        <v>827</v>
      </c>
      <c r="C142">
        <f>+Grote_strandschelp</f>
        <v>0</v>
      </c>
    </row>
    <row r="143" spans="1:3" ht="12.75">
      <c r="A143" s="16" t="s">
        <v>1025</v>
      </c>
      <c r="B143" t="s">
        <v>1155</v>
      </c>
      <c r="C143">
        <f>+Grote_strandschelp_d</f>
        <v>0</v>
      </c>
    </row>
    <row r="144" spans="1:3" ht="12.75">
      <c r="A144" s="16" t="s">
        <v>1026</v>
      </c>
      <c r="B144" t="s">
        <v>1156</v>
      </c>
      <c r="C144">
        <f>+Grote_strandschelp_v</f>
        <v>0</v>
      </c>
    </row>
    <row r="145" spans="1:3" ht="12.75">
      <c r="A145" s="16" t="s">
        <v>1375</v>
      </c>
      <c r="B145" s="21" t="s">
        <v>1167</v>
      </c>
      <c r="C145">
        <f>+Grote_tepelhoren</f>
        <v>0</v>
      </c>
    </row>
    <row r="146" spans="1:3" ht="12.75">
      <c r="A146" t="s">
        <v>1377</v>
      </c>
      <c r="B146" t="s">
        <v>1162</v>
      </c>
      <c r="C146">
        <f>+Grote_tepelhoren_ei</f>
        <v>0</v>
      </c>
    </row>
    <row r="147" spans="1:3" ht="12.75">
      <c r="A147" s="16" t="s">
        <v>1376</v>
      </c>
      <c r="B147" s="21" t="s">
        <v>1163</v>
      </c>
      <c r="C147">
        <f>+Grote_tepelhoren_l</f>
        <v>0</v>
      </c>
    </row>
    <row r="148" spans="1:3" ht="12.75">
      <c r="A148" s="16" t="s">
        <v>862</v>
      </c>
      <c r="B148" t="s">
        <v>827</v>
      </c>
      <c r="C148">
        <f>+Grote_zwaardschede</f>
        <v>0</v>
      </c>
    </row>
    <row r="149" spans="1:3" ht="12.75">
      <c r="A149" s="16" t="s">
        <v>1027</v>
      </c>
      <c r="B149" t="s">
        <v>1155</v>
      </c>
      <c r="C149">
        <f>+Grote_zwaardschede_d</f>
        <v>0</v>
      </c>
    </row>
    <row r="150" spans="1:3" ht="12.75">
      <c r="A150" s="16" t="s">
        <v>1028</v>
      </c>
      <c r="B150" t="s">
        <v>1156</v>
      </c>
      <c r="C150">
        <f>+Grote_zwaardschede_v</f>
        <v>0</v>
      </c>
    </row>
    <row r="151" spans="1:3" ht="12.75">
      <c r="A151" s="16" t="s">
        <v>872</v>
      </c>
      <c r="B151" t="s">
        <v>827</v>
      </c>
      <c r="C151">
        <f>+Halfgeknotte_strandschelp</f>
        <v>0</v>
      </c>
    </row>
    <row r="152" spans="1:3" ht="12.75">
      <c r="A152" s="16" t="s">
        <v>1029</v>
      </c>
      <c r="B152" t="s">
        <v>1155</v>
      </c>
      <c r="C152">
        <f>+Halfgeknotte_strandschelp_d</f>
        <v>0</v>
      </c>
    </row>
    <row r="153" spans="1:3" ht="12.75">
      <c r="A153" s="16" t="s">
        <v>1030</v>
      </c>
      <c r="B153" t="s">
        <v>1156</v>
      </c>
      <c r="C153">
        <f>+Halfgeknotte_strandschelp_v</f>
        <v>0</v>
      </c>
    </row>
    <row r="154" spans="1:3" ht="12.75">
      <c r="A154" t="s">
        <v>1353</v>
      </c>
      <c r="B154" t="s">
        <v>1167</v>
      </c>
      <c r="C154">
        <f>+Harig_kantmosdiertje</f>
        <v>0</v>
      </c>
    </row>
    <row r="155" spans="1:3" ht="12.75">
      <c r="A155" s="16" t="s">
        <v>666</v>
      </c>
      <c r="B155" t="s">
        <v>1167</v>
      </c>
      <c r="C155">
        <f>+Hauwwier</f>
        <v>0</v>
      </c>
    </row>
    <row r="156" spans="1:3" ht="12.75">
      <c r="A156" s="16" t="s">
        <v>759</v>
      </c>
      <c r="B156" t="s">
        <v>1167</v>
      </c>
      <c r="C156">
        <f>+Havenpissenbed</f>
        <v>0</v>
      </c>
    </row>
    <row r="157" spans="1:3" ht="12.75">
      <c r="A157" s="16" t="s">
        <v>770</v>
      </c>
      <c r="B157" s="21" t="s">
        <v>761</v>
      </c>
      <c r="C157">
        <f>+Helmkrab</f>
        <v>0</v>
      </c>
    </row>
    <row r="158" spans="1:3" ht="12.75">
      <c r="A158" s="16" t="s">
        <v>1031</v>
      </c>
      <c r="B158" s="21" t="s">
        <v>1161</v>
      </c>
      <c r="C158">
        <f>+Helmkrab_d</f>
        <v>0</v>
      </c>
    </row>
    <row r="159" spans="1:3" ht="12.75">
      <c r="A159" s="16" t="s">
        <v>1032</v>
      </c>
      <c r="B159" s="21" t="s">
        <v>1162</v>
      </c>
      <c r="C159">
        <f>+Helmkrab_ei</f>
        <v>0</v>
      </c>
    </row>
    <row r="160" spans="1:3" ht="12.75">
      <c r="A160" s="16" t="s">
        <v>1033</v>
      </c>
      <c r="B160" s="21" t="s">
        <v>1163</v>
      </c>
      <c r="C160">
        <f>+Helmkrab_l</f>
        <v>0</v>
      </c>
    </row>
    <row r="161" spans="1:3" ht="12.75">
      <c r="A161" s="16" t="s">
        <v>1034</v>
      </c>
      <c r="B161" s="21" t="s">
        <v>1164</v>
      </c>
      <c r="C161">
        <f>+Helmkrab_v</f>
        <v>0</v>
      </c>
    </row>
    <row r="162" spans="1:3" ht="12.75">
      <c r="A162" s="16" t="s">
        <v>819</v>
      </c>
      <c r="B162" s="21" t="s">
        <v>1167</v>
      </c>
      <c r="C162">
        <f>+Hondshaai</f>
        <v>0</v>
      </c>
    </row>
    <row r="163" spans="1:3" ht="12.75">
      <c r="A163" s="16" t="s">
        <v>1035</v>
      </c>
      <c r="B163" s="21" t="s">
        <v>1166</v>
      </c>
      <c r="C163">
        <f>+Hondshaai_e</f>
        <v>0</v>
      </c>
    </row>
    <row r="164" spans="1:3" ht="12.75">
      <c r="A164" s="16" t="s">
        <v>1142</v>
      </c>
      <c r="B164" t="s">
        <v>1167</v>
      </c>
      <c r="C164">
        <f>+Iers_mos</f>
        <v>0</v>
      </c>
    </row>
    <row r="165" spans="1:3" ht="12.75">
      <c r="A165" s="16" t="s">
        <v>1143</v>
      </c>
      <c r="B165" t="s">
        <v>1167</v>
      </c>
      <c r="C165">
        <f>+Japans_bessenwier</f>
        <v>0</v>
      </c>
    </row>
    <row r="166" spans="1:3" ht="12.75">
      <c r="A166" s="16" t="s">
        <v>860</v>
      </c>
      <c r="B166" t="s">
        <v>1167</v>
      </c>
      <c r="C166">
        <f>+Japanse_oester</f>
        <v>0</v>
      </c>
    </row>
    <row r="167" spans="1:3" ht="12.75">
      <c r="A167" s="16" t="s">
        <v>1036</v>
      </c>
      <c r="B167" t="s">
        <v>1155</v>
      </c>
      <c r="C167">
        <f>+Japanse_oester_d</f>
        <v>0</v>
      </c>
    </row>
    <row r="168" spans="1:3" ht="12.75">
      <c r="A168" s="16" t="s">
        <v>1037</v>
      </c>
      <c r="B168" t="s">
        <v>1156</v>
      </c>
      <c r="C168">
        <f>+Japanse_oester_v</f>
        <v>0</v>
      </c>
    </row>
    <row r="169" spans="1:3" ht="12.75">
      <c r="A169" s="16" t="s">
        <v>865</v>
      </c>
      <c r="B169" t="s">
        <v>827</v>
      </c>
      <c r="C169">
        <f>+Klein_tafelmesheft</f>
        <v>0</v>
      </c>
    </row>
    <row r="170" spans="1:3" ht="12.75">
      <c r="A170" s="16" t="s">
        <v>1038</v>
      </c>
      <c r="B170" t="s">
        <v>1155</v>
      </c>
      <c r="C170">
        <f>+Klein_tafelmesheft_d</f>
        <v>0</v>
      </c>
    </row>
    <row r="171" spans="1:3" ht="12.75">
      <c r="A171" s="16" t="s">
        <v>1039</v>
      </c>
      <c r="B171" t="s">
        <v>1156</v>
      </c>
      <c r="C171">
        <f>+Klein_tafelmesheft_v</f>
        <v>0</v>
      </c>
    </row>
    <row r="172" spans="1:3" ht="12.75">
      <c r="A172" s="15" t="s">
        <v>1354</v>
      </c>
      <c r="B172" t="s">
        <v>1167</v>
      </c>
      <c r="C172">
        <f>+Kleine_boormossel</f>
        <v>0</v>
      </c>
    </row>
    <row r="173" spans="1:3" ht="12.75">
      <c r="A173" t="s">
        <v>1355</v>
      </c>
      <c r="B173" t="s">
        <v>1161</v>
      </c>
      <c r="C173">
        <f>+Kleine_boormossel_d</f>
        <v>0</v>
      </c>
    </row>
    <row r="174" spans="1:3" ht="12.75">
      <c r="A174" t="s">
        <v>1356</v>
      </c>
      <c r="B174" t="s">
        <v>1156</v>
      </c>
      <c r="C174">
        <f>+Kleine_boormossel_v</f>
        <v>0</v>
      </c>
    </row>
    <row r="175" spans="1:3" ht="12.75">
      <c r="A175" s="16" t="s">
        <v>882</v>
      </c>
      <c r="B175" t="s">
        <v>1167</v>
      </c>
      <c r="C175">
        <f>+Kleine_heremietkreeft</f>
        <v>0</v>
      </c>
    </row>
    <row r="176" spans="1:3" ht="12.75">
      <c r="A176" s="16" t="s">
        <v>1040</v>
      </c>
      <c r="B176" s="21" t="s">
        <v>1161</v>
      </c>
      <c r="C176">
        <f>+Kleine_heremietkreeft_d</f>
        <v>0</v>
      </c>
    </row>
    <row r="177" spans="1:3" ht="12.75">
      <c r="A177" s="16" t="s">
        <v>1041</v>
      </c>
      <c r="B177" s="21" t="s">
        <v>1162</v>
      </c>
      <c r="C177">
        <f>+Kleine_heremietkreeft_ei</f>
        <v>0</v>
      </c>
    </row>
    <row r="178" spans="1:3" ht="12.75">
      <c r="A178" s="16" t="s">
        <v>1042</v>
      </c>
      <c r="B178" s="21" t="s">
        <v>1163</v>
      </c>
      <c r="C178">
        <f>+Kleine_heremietkreeft_l</f>
        <v>0</v>
      </c>
    </row>
    <row r="179" spans="1:3" ht="12.75">
      <c r="A179" s="16" t="s">
        <v>1043</v>
      </c>
      <c r="B179" s="21" t="s">
        <v>1164</v>
      </c>
      <c r="C179">
        <f>+Kleine_heremietkreeft_v</f>
        <v>0</v>
      </c>
    </row>
    <row r="180" spans="1:3" ht="12.75">
      <c r="A180" s="16" t="s">
        <v>1145</v>
      </c>
      <c r="B180" t="s">
        <v>1167</v>
      </c>
      <c r="C180">
        <f>+Kleine_zee_eik</f>
        <v>0</v>
      </c>
    </row>
    <row r="181" spans="1:3" ht="12.75">
      <c r="A181" s="16" t="s">
        <v>863</v>
      </c>
      <c r="B181" t="s">
        <v>827</v>
      </c>
      <c r="C181">
        <f>+Kleine_zwaardschede</f>
        <v>0</v>
      </c>
    </row>
    <row r="182" spans="1:3" ht="12.75">
      <c r="A182" s="16" t="s">
        <v>1044</v>
      </c>
      <c r="B182" t="s">
        <v>1155</v>
      </c>
      <c r="C182">
        <f>+Kleine_zwaardschede_d</f>
        <v>0</v>
      </c>
    </row>
    <row r="183" spans="1:3" ht="12.75">
      <c r="A183" s="16" t="s">
        <v>1045</v>
      </c>
      <c r="B183" t="s">
        <v>1156</v>
      </c>
      <c r="C183">
        <f>+Kleine_zwaardschede_v</f>
        <v>0</v>
      </c>
    </row>
    <row r="184" spans="1:3" ht="12.75">
      <c r="A184" s="16" t="s">
        <v>814</v>
      </c>
      <c r="B184" s="21" t="s">
        <v>1167</v>
      </c>
      <c r="C184">
        <f>+Kleinoogrog</f>
        <v>0</v>
      </c>
    </row>
    <row r="185" spans="1:3" ht="12.75">
      <c r="A185" s="16" t="s">
        <v>1046</v>
      </c>
      <c r="B185" s="21" t="s">
        <v>1166</v>
      </c>
      <c r="C185">
        <f>+Kleinoogrog_e</f>
        <v>0</v>
      </c>
    </row>
    <row r="186" spans="1:3" ht="12.75">
      <c r="A186" t="s">
        <v>1314</v>
      </c>
      <c r="B186" t="s">
        <v>1167</v>
      </c>
      <c r="C186">
        <f>+Klepelklokje</f>
        <v>0</v>
      </c>
    </row>
    <row r="187" spans="1:3" ht="12.75">
      <c r="A187" s="16" t="s">
        <v>662</v>
      </c>
      <c r="B187" t="s">
        <v>1167</v>
      </c>
      <c r="C187">
        <f>+Knoopwier</f>
        <v>0</v>
      </c>
    </row>
    <row r="188" spans="1:3" ht="12.75">
      <c r="A188" s="16" t="s">
        <v>641</v>
      </c>
      <c r="B188" t="s">
        <v>1167</v>
      </c>
      <c r="C188">
        <f>+Knotswier</f>
        <v>0</v>
      </c>
    </row>
    <row r="189" spans="1:3" ht="12.75">
      <c r="A189" s="16" t="s">
        <v>718</v>
      </c>
      <c r="B189" t="s">
        <v>1167</v>
      </c>
      <c r="C189">
        <f>+Kokkel</f>
        <v>0</v>
      </c>
    </row>
    <row r="190" spans="1:3" ht="12.75">
      <c r="A190" s="16" t="s">
        <v>1047</v>
      </c>
      <c r="B190" t="s">
        <v>1155</v>
      </c>
      <c r="C190">
        <f>+Kokkel_d</f>
        <v>0</v>
      </c>
    </row>
    <row r="191" spans="1:3" ht="12.75">
      <c r="A191" s="16" t="s">
        <v>1048</v>
      </c>
      <c r="B191" t="s">
        <v>1156</v>
      </c>
      <c r="C191">
        <f>+Kokkel_v</f>
        <v>0</v>
      </c>
    </row>
    <row r="192" spans="1:3" ht="12.75">
      <c r="A192" s="15" t="s">
        <v>1240</v>
      </c>
      <c r="B192" t="s">
        <v>1167</v>
      </c>
      <c r="C192">
        <f>+Komkommerkwal</f>
        <v>0</v>
      </c>
    </row>
    <row r="193" spans="1:3" ht="12.75">
      <c r="A193" s="16" t="s">
        <v>626</v>
      </c>
      <c r="B193" t="s">
        <v>1167</v>
      </c>
      <c r="C193">
        <f>+Kompaskwal</f>
        <v>0</v>
      </c>
    </row>
    <row r="194" spans="1:3" ht="12.75">
      <c r="A194" s="16" t="s">
        <v>754</v>
      </c>
      <c r="B194" t="s">
        <v>1167</v>
      </c>
      <c r="C194">
        <f>+Krabbenzakje</f>
        <v>0</v>
      </c>
    </row>
    <row r="195" spans="1:3" ht="12.75">
      <c r="A195" s="16" t="s">
        <v>751</v>
      </c>
      <c r="B195" t="s">
        <v>1167</v>
      </c>
      <c r="C195">
        <f>+Kwalvlo</f>
        <v>0</v>
      </c>
    </row>
    <row r="196" spans="1:3" ht="12.75">
      <c r="A196" t="s">
        <v>1357</v>
      </c>
      <c r="B196" t="s">
        <v>1167</v>
      </c>
      <c r="C196">
        <f>+Lampjekapje</f>
        <v>0</v>
      </c>
    </row>
    <row r="197" spans="1:3" ht="12.75">
      <c r="A197" s="17" t="s">
        <v>1380</v>
      </c>
      <c r="B197" t="s">
        <v>1167</v>
      </c>
      <c r="C197">
        <f>+Lange_zeedraad_k</f>
        <v>0</v>
      </c>
    </row>
    <row r="198" spans="1:3" ht="12.75">
      <c r="A198" t="s">
        <v>1358</v>
      </c>
      <c r="B198" t="s">
        <v>1167</v>
      </c>
      <c r="C198">
        <f>+Licht_kwal</f>
        <v>0</v>
      </c>
    </row>
    <row r="199" spans="1:3" ht="12.75">
      <c r="A199" s="16" t="s">
        <v>740</v>
      </c>
      <c r="B199" t="s">
        <v>827</v>
      </c>
      <c r="C199">
        <f>+Mossel</f>
        <v>0</v>
      </c>
    </row>
    <row r="200" spans="1:3" ht="12.75">
      <c r="A200" s="16" t="s">
        <v>1050</v>
      </c>
      <c r="B200" t="s">
        <v>1155</v>
      </c>
      <c r="C200">
        <f>+Mossel_d</f>
        <v>0</v>
      </c>
    </row>
    <row r="201" spans="1:3" ht="12.75">
      <c r="A201" s="16" t="s">
        <v>1051</v>
      </c>
      <c r="B201" t="s">
        <v>1156</v>
      </c>
      <c r="C201">
        <f>+Mossel_v</f>
        <v>0</v>
      </c>
    </row>
    <row r="202" spans="1:3" ht="12.75">
      <c r="A202" s="16" t="s">
        <v>690</v>
      </c>
      <c r="B202" t="s">
        <v>1167</v>
      </c>
      <c r="C202">
        <f>+Muiltje</f>
        <v>0</v>
      </c>
    </row>
    <row r="203" spans="1:3" ht="12.75">
      <c r="A203" s="16" t="s">
        <v>1052</v>
      </c>
      <c r="B203" t="s">
        <v>1163</v>
      </c>
      <c r="C203">
        <f>+Muiltje_l</f>
        <v>0</v>
      </c>
    </row>
    <row r="204" spans="1:3" ht="12.75">
      <c r="A204" s="16" t="s">
        <v>783</v>
      </c>
      <c r="B204" s="21" t="s">
        <v>761</v>
      </c>
      <c r="C204">
        <f>+Nagelkrab</f>
        <v>0</v>
      </c>
    </row>
    <row r="205" spans="1:3" ht="12.75">
      <c r="A205" s="16" t="s">
        <v>1053</v>
      </c>
      <c r="B205" s="21" t="s">
        <v>1161</v>
      </c>
      <c r="C205">
        <f>+Nagelkrab_d</f>
        <v>0</v>
      </c>
    </row>
    <row r="206" spans="1:3" ht="12.75">
      <c r="A206" s="16" t="s">
        <v>1054</v>
      </c>
      <c r="B206" s="21" t="s">
        <v>1162</v>
      </c>
      <c r="C206">
        <f>+Nagelkrab_ei</f>
        <v>0</v>
      </c>
    </row>
    <row r="207" spans="1:3" ht="12.75">
      <c r="A207" s="16" t="s">
        <v>1055</v>
      </c>
      <c r="B207" s="21" t="s">
        <v>1163</v>
      </c>
      <c r="C207">
        <f>+Nagelkrab_l</f>
        <v>0</v>
      </c>
    </row>
    <row r="208" spans="1:3" ht="12.75">
      <c r="A208" s="16" t="s">
        <v>1056</v>
      </c>
      <c r="B208" s="21" t="s">
        <v>1164</v>
      </c>
      <c r="C208">
        <f>+Nagelkrab_v</f>
        <v>0</v>
      </c>
    </row>
    <row r="209" spans="1:3" ht="12.75">
      <c r="A209" s="16" t="s">
        <v>890</v>
      </c>
      <c r="B209" t="s">
        <v>1167</v>
      </c>
      <c r="C209">
        <f>+Nieuw_Zeelandse_zeepok</f>
        <v>0</v>
      </c>
    </row>
    <row r="210" spans="1:3" ht="12.75">
      <c r="A210" s="16" t="s">
        <v>734</v>
      </c>
      <c r="B210" s="21" t="s">
        <v>1167</v>
      </c>
      <c r="C210">
        <f>+Nonnetje</f>
        <v>0</v>
      </c>
    </row>
    <row r="211" spans="1:3" ht="12.75">
      <c r="A211" s="16" t="s">
        <v>1057</v>
      </c>
      <c r="B211" t="s">
        <v>1155</v>
      </c>
      <c r="C211">
        <f>+Nonnetje_d</f>
        <v>0</v>
      </c>
    </row>
    <row r="212" spans="1:3" ht="12.75">
      <c r="A212" t="s">
        <v>1359</v>
      </c>
      <c r="B212" t="s">
        <v>1156</v>
      </c>
      <c r="C212">
        <f>+Nonnetje_v</f>
        <v>0</v>
      </c>
    </row>
    <row r="213" spans="1:3" ht="12.75">
      <c r="A213" s="16" t="s">
        <v>766</v>
      </c>
      <c r="B213" s="21" t="s">
        <v>761</v>
      </c>
      <c r="C213">
        <f>+Noordzeekrab</f>
        <v>0</v>
      </c>
    </row>
    <row r="214" spans="1:3" ht="12.75">
      <c r="A214" s="16" t="s">
        <v>1058</v>
      </c>
      <c r="B214" s="21" t="s">
        <v>1161</v>
      </c>
      <c r="C214">
        <f>+Noordzeekrab_d</f>
        <v>0</v>
      </c>
    </row>
    <row r="215" spans="1:3" ht="12.75">
      <c r="A215" s="16" t="s">
        <v>1059</v>
      </c>
      <c r="B215" s="21" t="s">
        <v>1162</v>
      </c>
      <c r="C215">
        <f>+Noordzeekrab_ei</f>
        <v>0</v>
      </c>
    </row>
    <row r="216" spans="1:3" ht="12.75">
      <c r="A216" s="16" t="s">
        <v>1060</v>
      </c>
      <c r="B216" s="21" t="s">
        <v>1163</v>
      </c>
      <c r="C216">
        <f>+Noordzeekrab_l</f>
        <v>0</v>
      </c>
    </row>
    <row r="217" spans="1:3" ht="12.75">
      <c r="A217" s="16" t="s">
        <v>1061</v>
      </c>
      <c r="B217" s="21" t="s">
        <v>1164</v>
      </c>
      <c r="C217">
        <f>+Noordzeekrab_v</f>
        <v>0</v>
      </c>
    </row>
    <row r="218" spans="1:3" ht="12.75">
      <c r="A218" t="s">
        <v>1360</v>
      </c>
      <c r="B218" t="s">
        <v>1167</v>
      </c>
      <c r="C218">
        <f>+Noorse_hartschelp</f>
        <v>0</v>
      </c>
    </row>
    <row r="219" spans="1:3" ht="12.75">
      <c r="A219" t="s">
        <v>1361</v>
      </c>
      <c r="B219" t="s">
        <v>1161</v>
      </c>
      <c r="C219">
        <f>+Noorse_hartschelp_d</f>
        <v>0</v>
      </c>
    </row>
    <row r="220" spans="1:3" ht="12.75">
      <c r="A220" t="s">
        <v>1362</v>
      </c>
      <c r="B220" t="s">
        <v>1156</v>
      </c>
      <c r="C220">
        <f>+Noorse_hartschelp_v</f>
        <v>0</v>
      </c>
    </row>
    <row r="221" spans="1:3" ht="12.75">
      <c r="A221" s="16" t="s">
        <v>624</v>
      </c>
      <c r="B221" s="21" t="s">
        <v>1167</v>
      </c>
      <c r="C221">
        <f>+Oorkwal</f>
        <v>0</v>
      </c>
    </row>
    <row r="222" spans="1:3" ht="12.75">
      <c r="A222" t="s">
        <v>1363</v>
      </c>
      <c r="B222" t="s">
        <v>1167</v>
      </c>
      <c r="C222">
        <f>+Oranjerood_plooimosd</f>
        <v>0</v>
      </c>
    </row>
    <row r="223" spans="1:3" ht="12.75">
      <c r="A223" s="16" t="s">
        <v>732</v>
      </c>
      <c r="B223" t="s">
        <v>827</v>
      </c>
      <c r="C223">
        <f>+Otterschelp</f>
        <v>0</v>
      </c>
    </row>
    <row r="224" spans="1:3" ht="12.75">
      <c r="A224" s="16" t="s">
        <v>1062</v>
      </c>
      <c r="B224" t="s">
        <v>1155</v>
      </c>
      <c r="C224">
        <f>+Otterschelp_d</f>
        <v>0</v>
      </c>
    </row>
    <row r="225" spans="1:3" ht="12.75">
      <c r="A225" s="16" t="s">
        <v>1063</v>
      </c>
      <c r="B225" t="s">
        <v>1156</v>
      </c>
      <c r="C225">
        <f>+Otterschelp_v</f>
        <v>0</v>
      </c>
    </row>
    <row r="226" spans="1:3" ht="12.75">
      <c r="A226" s="17" t="s">
        <v>1379</v>
      </c>
      <c r="B226" t="s">
        <v>1167</v>
      </c>
      <c r="C226">
        <f>+Pennenschaft_k</f>
        <v>0</v>
      </c>
    </row>
    <row r="227" spans="1:3" ht="12.75">
      <c r="A227" s="16" t="s">
        <v>776</v>
      </c>
      <c r="B227" s="21" t="s">
        <v>761</v>
      </c>
      <c r="C227">
        <f>+Penseelkrab</f>
        <v>0</v>
      </c>
    </row>
    <row r="228" spans="1:3" ht="12.75">
      <c r="A228" s="16" t="s">
        <v>1064</v>
      </c>
      <c r="B228" s="21" t="s">
        <v>1161</v>
      </c>
      <c r="C228">
        <f>+Penseelkrab_d</f>
        <v>0</v>
      </c>
    </row>
    <row r="229" spans="1:3" ht="12.75">
      <c r="A229" s="16" t="s">
        <v>1065</v>
      </c>
      <c r="B229" s="21" t="s">
        <v>1162</v>
      </c>
      <c r="C229">
        <f>+Penseelkrab_ei</f>
        <v>0</v>
      </c>
    </row>
    <row r="230" spans="1:3" ht="12.75">
      <c r="A230" s="16" t="s">
        <v>1066</v>
      </c>
      <c r="B230" s="21" t="s">
        <v>1163</v>
      </c>
      <c r="C230">
        <f>+Penseelkrab_l</f>
        <v>0</v>
      </c>
    </row>
    <row r="231" spans="1:3" ht="12.75">
      <c r="A231" s="16" t="s">
        <v>1067</v>
      </c>
      <c r="B231" s="21" t="s">
        <v>1164</v>
      </c>
      <c r="C231">
        <f>+Penseelkrab_v</f>
        <v>0</v>
      </c>
    </row>
    <row r="232" spans="1:3" ht="12.75">
      <c r="A232" s="16" t="s">
        <v>1068</v>
      </c>
      <c r="B232" s="21" t="s">
        <v>1167</v>
      </c>
      <c r="C232">
        <f>+Pijlinktvis</f>
        <v>0</v>
      </c>
    </row>
    <row r="233" spans="1:3" ht="12.75">
      <c r="A233" s="16" t="s">
        <v>1069</v>
      </c>
      <c r="B233" s="21" t="s">
        <v>1168</v>
      </c>
      <c r="C233">
        <f>+Pijlinktvis_ei</f>
        <v>0</v>
      </c>
    </row>
    <row r="234" spans="1:3" ht="12.75">
      <c r="A234" s="16" t="s">
        <v>1070</v>
      </c>
      <c r="B234" s="21" t="s">
        <v>1156</v>
      </c>
      <c r="C234">
        <f>+Pijlinktvis_v</f>
        <v>0</v>
      </c>
    </row>
    <row r="235" spans="1:3" ht="12.75">
      <c r="A235" s="16" t="s">
        <v>869</v>
      </c>
      <c r="B235" t="s">
        <v>827</v>
      </c>
      <c r="C235">
        <f>+Platte_oester</f>
        <v>0</v>
      </c>
    </row>
    <row r="236" spans="1:3" ht="12.75">
      <c r="A236" s="16" t="s">
        <v>1072</v>
      </c>
      <c r="B236" t="s">
        <v>1155</v>
      </c>
      <c r="C236">
        <f>+Platte_oester_d</f>
        <v>0</v>
      </c>
    </row>
    <row r="237" spans="1:3" ht="12.75">
      <c r="A237" s="16" t="s">
        <v>1073</v>
      </c>
      <c r="B237" t="s">
        <v>1156</v>
      </c>
      <c r="C237">
        <f>+Platte_oester_v</f>
        <v>0</v>
      </c>
    </row>
    <row r="238" spans="1:3" ht="12.75">
      <c r="A238" s="16" t="s">
        <v>871</v>
      </c>
      <c r="B238" t="s">
        <v>827</v>
      </c>
      <c r="C238">
        <f>+Platte_slijkgaper</f>
        <v>0</v>
      </c>
    </row>
    <row r="239" spans="1:3" ht="12.75">
      <c r="A239" s="16" t="s">
        <v>1074</v>
      </c>
      <c r="B239" t="s">
        <v>1155</v>
      </c>
      <c r="C239">
        <f>+Platte_slijkgaper_d</f>
        <v>0</v>
      </c>
    </row>
    <row r="240" spans="1:3" ht="12.75">
      <c r="A240" s="16" t="s">
        <v>1075</v>
      </c>
      <c r="B240" t="s">
        <v>1156</v>
      </c>
      <c r="C240">
        <f>+Platte_slijkgaper_v</f>
        <v>0</v>
      </c>
    </row>
    <row r="241" spans="1:3" ht="12.75">
      <c r="A241" s="16" t="s">
        <v>698</v>
      </c>
      <c r="B241" t="s">
        <v>1167</v>
      </c>
      <c r="C241">
        <f>+Purperslak</f>
        <v>0</v>
      </c>
    </row>
    <row r="242" spans="1:3" ht="12.75">
      <c r="A242" s="16" t="s">
        <v>1078</v>
      </c>
      <c r="B242" s="21" t="s">
        <v>1162</v>
      </c>
      <c r="C242">
        <f>+Purperslak_ei</f>
        <v>0</v>
      </c>
    </row>
    <row r="243" spans="1:3" ht="12.75">
      <c r="A243" s="16" t="s">
        <v>1079</v>
      </c>
      <c r="B243" s="21" t="s">
        <v>1163</v>
      </c>
      <c r="C243">
        <f>+Purperslak_l</f>
        <v>0</v>
      </c>
    </row>
    <row r="244" spans="1:3" ht="12.75">
      <c r="A244" s="16" t="s">
        <v>672</v>
      </c>
      <c r="B244" t="s">
        <v>1167</v>
      </c>
      <c r="C244">
        <f>+Purperwier</f>
        <v>0</v>
      </c>
    </row>
    <row r="245" spans="1:3" ht="12.75">
      <c r="A245" s="16" t="s">
        <v>874</v>
      </c>
      <c r="B245" t="s">
        <v>827</v>
      </c>
      <c r="C245">
        <f>+Rechtsgestreepte_platschelp</f>
        <v>0</v>
      </c>
    </row>
    <row r="246" spans="1:3" ht="12.75">
      <c r="A246" s="16" t="s">
        <v>1080</v>
      </c>
      <c r="B246" t="s">
        <v>1155</v>
      </c>
      <c r="C246">
        <f>+Rechtsgestreepte_platschelp_d</f>
        <v>0</v>
      </c>
    </row>
    <row r="247" spans="1:3" ht="12.75">
      <c r="A247" s="16" t="s">
        <v>1081</v>
      </c>
      <c r="B247" t="s">
        <v>1156</v>
      </c>
      <c r="C247">
        <f>+Rechtsgestreepte_platschelp_v</f>
        <v>0</v>
      </c>
    </row>
    <row r="248" spans="1:3" ht="12.75">
      <c r="A248" s="16" t="s">
        <v>668</v>
      </c>
      <c r="B248" t="s">
        <v>1167</v>
      </c>
      <c r="C248">
        <f>+Riemwier</f>
        <v>0</v>
      </c>
    </row>
    <row r="249" spans="1:3" ht="12.75">
      <c r="A249" t="s">
        <v>1264</v>
      </c>
      <c r="B249" t="s">
        <v>1167</v>
      </c>
      <c r="C249">
        <f>+Ritspok</f>
        <v>0</v>
      </c>
    </row>
    <row r="250" spans="1:3" ht="12.75">
      <c r="A250" s="16" t="s">
        <v>1082</v>
      </c>
      <c r="B250" t="s">
        <v>1167</v>
      </c>
      <c r="C250">
        <f>+Ruwe_alikruik</f>
        <v>0</v>
      </c>
    </row>
    <row r="251" spans="1:3" ht="12.75">
      <c r="A251" s="16" t="s">
        <v>1083</v>
      </c>
      <c r="B251" s="21" t="s">
        <v>1163</v>
      </c>
      <c r="C251">
        <f>+Ruwe_alikruik_l</f>
        <v>0</v>
      </c>
    </row>
    <row r="252" spans="1:3" ht="12.75">
      <c r="A252" s="16" t="s">
        <v>876</v>
      </c>
      <c r="B252" t="s">
        <v>827</v>
      </c>
      <c r="C252">
        <f>+Ruwe_boormossel</f>
        <v>0</v>
      </c>
    </row>
    <row r="253" spans="1:3" ht="12.75">
      <c r="A253" s="16" t="s">
        <v>1084</v>
      </c>
      <c r="B253" t="s">
        <v>1155</v>
      </c>
      <c r="C253">
        <f>+Ruwe_boormossel_d</f>
        <v>0</v>
      </c>
    </row>
    <row r="254" spans="1:3" ht="12.75">
      <c r="A254" s="16" t="s">
        <v>1085</v>
      </c>
      <c r="B254" t="s">
        <v>1156</v>
      </c>
      <c r="C254">
        <f>+Ruwe_boormossel_v</f>
        <v>0</v>
      </c>
    </row>
    <row r="255" spans="1:3" ht="12.75">
      <c r="A255" s="17" t="s">
        <v>1364</v>
      </c>
      <c r="B255" t="s">
        <v>1167</v>
      </c>
      <c r="C255">
        <f>+Ruwe_zeerasp_k</f>
        <v>0</v>
      </c>
    </row>
    <row r="256" spans="1:3" ht="12.75">
      <c r="A256" s="16" t="s">
        <v>699</v>
      </c>
      <c r="B256" t="s">
        <v>1167</v>
      </c>
      <c r="C256">
        <f>+Schaalhoren</f>
        <v>0</v>
      </c>
    </row>
    <row r="257" spans="1:3" ht="12.75">
      <c r="A257" s="16" t="s">
        <v>1086</v>
      </c>
      <c r="B257" s="21" t="s">
        <v>1163</v>
      </c>
      <c r="C257">
        <f>+Schaalhoren_l</f>
        <v>0</v>
      </c>
    </row>
    <row r="258" spans="1:3" ht="12.75">
      <c r="A258" s="16" t="s">
        <v>674</v>
      </c>
      <c r="B258" t="s">
        <v>1167</v>
      </c>
      <c r="C258">
        <f>+Schelpkokerworm</f>
        <v>0</v>
      </c>
    </row>
    <row r="259" spans="1:3" ht="12.75">
      <c r="A259" s="16" t="s">
        <v>1087</v>
      </c>
      <c r="B259" t="s">
        <v>1163</v>
      </c>
      <c r="C259">
        <f>+Schelpkokerworm_l</f>
        <v>0</v>
      </c>
    </row>
    <row r="260" spans="1:3" ht="12.75">
      <c r="A260" s="16" t="s">
        <v>1088</v>
      </c>
      <c r="B260" s="21" t="s">
        <v>1167</v>
      </c>
      <c r="C260">
        <f>+Sierlijke_zeekat</f>
        <v>0</v>
      </c>
    </row>
    <row r="261" spans="1:3" ht="12.75">
      <c r="A261" s="16" t="s">
        <v>1089</v>
      </c>
      <c r="B261" s="21" t="s">
        <v>1168</v>
      </c>
      <c r="C261">
        <f>+Sierlijke_zeekat_ei</f>
        <v>0</v>
      </c>
    </row>
    <row r="262" spans="1:3" ht="12.75">
      <c r="A262" s="16" t="s">
        <v>1090</v>
      </c>
      <c r="B262" s="21" t="s">
        <v>1156</v>
      </c>
      <c r="C262">
        <f>+Sierlijke_zeekat_v</f>
        <v>0</v>
      </c>
    </row>
    <row r="263" spans="1:3" ht="12.75">
      <c r="A263" s="16" t="s">
        <v>1091</v>
      </c>
      <c r="B263" s="21" t="s">
        <v>1163</v>
      </c>
      <c r="C263">
        <f>+Slangster_l</f>
        <v>0</v>
      </c>
    </row>
    <row r="264" spans="1:3" ht="12.75">
      <c r="A264" s="16" t="s">
        <v>1092</v>
      </c>
      <c r="B264" s="21" t="s">
        <v>1156</v>
      </c>
      <c r="C264">
        <f>+Slangster_v</f>
        <v>0</v>
      </c>
    </row>
    <row r="265" spans="1:3" ht="12.75">
      <c r="A265" s="16" t="s">
        <v>650</v>
      </c>
      <c r="B265" t="s">
        <v>1167</v>
      </c>
      <c r="C265">
        <f>+Slibanemoon</f>
        <v>0</v>
      </c>
    </row>
    <row r="266" spans="1:3" ht="12.75">
      <c r="A266" s="16" t="s">
        <v>811</v>
      </c>
      <c r="B266" s="21" t="s">
        <v>1167</v>
      </c>
      <c r="C266">
        <f>+Stekelrog</f>
        <v>0</v>
      </c>
    </row>
    <row r="267" spans="1:3" ht="12.75">
      <c r="A267" s="16" t="s">
        <v>1093</v>
      </c>
      <c r="B267" s="21" t="s">
        <v>1166</v>
      </c>
      <c r="C267">
        <f>+Stekelrog_e</f>
        <v>0</v>
      </c>
    </row>
    <row r="268" spans="1:3" ht="12.75">
      <c r="A268" s="16" t="s">
        <v>804</v>
      </c>
      <c r="B268" s="21" t="s">
        <v>1167</v>
      </c>
      <c r="C268">
        <f>+Sterrog</f>
        <v>0</v>
      </c>
    </row>
    <row r="269" spans="1:3" ht="12.75">
      <c r="A269" s="16" t="s">
        <v>1094</v>
      </c>
      <c r="B269" s="21" t="s">
        <v>1166</v>
      </c>
      <c r="C269">
        <f>+Sterrog_e</f>
        <v>0</v>
      </c>
    </row>
    <row r="270" spans="1:3" ht="12.75">
      <c r="A270" s="16" t="s">
        <v>873</v>
      </c>
      <c r="B270" t="s">
        <v>827</v>
      </c>
      <c r="C270">
        <f>+Stevige_strandschelp</f>
        <v>0</v>
      </c>
    </row>
    <row r="271" spans="1:3" ht="12.75">
      <c r="A271" s="16" t="s">
        <v>1095</v>
      </c>
      <c r="B271" t="s">
        <v>1155</v>
      </c>
      <c r="C271">
        <f>+Stevige_strandschelp_d</f>
        <v>0</v>
      </c>
    </row>
    <row r="272" spans="1:3" ht="12.75">
      <c r="A272" s="16" t="s">
        <v>1096</v>
      </c>
      <c r="B272" t="s">
        <v>1156</v>
      </c>
      <c r="C272">
        <f>+Stevige_strandschelp_v</f>
        <v>0</v>
      </c>
    </row>
    <row r="273" spans="1:3" ht="12.75">
      <c r="A273" s="16" t="s">
        <v>1097</v>
      </c>
      <c r="B273" t="s">
        <v>1167</v>
      </c>
      <c r="C273">
        <f>+Stompe_alikruik</f>
        <v>0</v>
      </c>
    </row>
    <row r="274" spans="1:3" ht="12.75">
      <c r="A274" s="16" t="s">
        <v>1098</v>
      </c>
      <c r="B274" s="21" t="s">
        <v>1163</v>
      </c>
      <c r="C274">
        <f>+Stompe_alikruik_l</f>
        <v>0</v>
      </c>
    </row>
    <row r="275" spans="1:3" ht="12.75">
      <c r="A275" s="16" t="s">
        <v>737</v>
      </c>
      <c r="B275" t="s">
        <v>827</v>
      </c>
      <c r="C275">
        <f>+Strandgaper</f>
        <v>0</v>
      </c>
    </row>
    <row r="276" spans="1:3" ht="12.75">
      <c r="A276" s="16" t="s">
        <v>1099</v>
      </c>
      <c r="B276" t="s">
        <v>1155</v>
      </c>
      <c r="C276">
        <f>+Strandgaper_d</f>
        <v>0</v>
      </c>
    </row>
    <row r="277" spans="1:3" ht="12.75">
      <c r="A277" s="16" t="s">
        <v>1100</v>
      </c>
      <c r="B277" t="s">
        <v>1156</v>
      </c>
      <c r="C277">
        <f>+Strandgaper_v</f>
        <v>0</v>
      </c>
    </row>
    <row r="278" spans="1:3" ht="12.75">
      <c r="A278" s="16" t="s">
        <v>768</v>
      </c>
      <c r="B278" s="21" t="s">
        <v>761</v>
      </c>
      <c r="C278">
        <f>+Strandkrab</f>
        <v>0</v>
      </c>
    </row>
    <row r="279" spans="1:3" ht="12.75">
      <c r="A279" s="16" t="s">
        <v>1101</v>
      </c>
      <c r="B279" s="21" t="s">
        <v>1161</v>
      </c>
      <c r="C279">
        <f>+Strandkrab_d</f>
        <v>0</v>
      </c>
    </row>
    <row r="280" spans="1:3" ht="12.75">
      <c r="A280" s="16" t="s">
        <v>1102</v>
      </c>
      <c r="B280" s="21" t="s">
        <v>1162</v>
      </c>
      <c r="C280">
        <f>+Strandkrab_ei</f>
        <v>0</v>
      </c>
    </row>
    <row r="281" spans="1:3" ht="12.75">
      <c r="A281" s="16" t="s">
        <v>1103</v>
      </c>
      <c r="B281" s="21" t="s">
        <v>1163</v>
      </c>
      <c r="C281">
        <f>+Strandkrab_l</f>
        <v>0</v>
      </c>
    </row>
    <row r="282" spans="1:3" ht="12.75">
      <c r="A282" s="16" t="s">
        <v>1104</v>
      </c>
      <c r="B282" s="21" t="s">
        <v>1164</v>
      </c>
      <c r="C282">
        <f>+Strandkrab_v</f>
        <v>0</v>
      </c>
    </row>
    <row r="283" spans="1:3" ht="12.75">
      <c r="A283" s="16" t="s">
        <v>1105</v>
      </c>
      <c r="B283" s="21" t="s">
        <v>1167</v>
      </c>
      <c r="C283">
        <f>+Strandvlo</f>
        <v>0</v>
      </c>
    </row>
    <row r="284" spans="1:3" ht="12.75">
      <c r="A284" s="16" t="s">
        <v>671</v>
      </c>
      <c r="B284" t="s">
        <v>1167</v>
      </c>
      <c r="C284">
        <f>+Suikerwier</f>
        <v>0</v>
      </c>
    </row>
    <row r="285" spans="1:3" ht="12.75">
      <c r="A285" s="16" t="s">
        <v>747</v>
      </c>
      <c r="B285" t="s">
        <v>827</v>
      </c>
      <c r="C285">
        <f>+Tapijtschelp</f>
        <v>0</v>
      </c>
    </row>
    <row r="286" spans="1:3" ht="12.75">
      <c r="A286" s="16" t="s">
        <v>1106</v>
      </c>
      <c r="B286" t="s">
        <v>1155</v>
      </c>
      <c r="C286">
        <f>+Tapijtschelp_d</f>
        <v>0</v>
      </c>
    </row>
    <row r="287" spans="1:3" ht="12.75">
      <c r="A287" s="16" t="s">
        <v>1107</v>
      </c>
      <c r="B287" t="s">
        <v>1156</v>
      </c>
      <c r="C287">
        <f>+Tapijtschelp_v</f>
        <v>0</v>
      </c>
    </row>
    <row r="288" spans="1:3" ht="12.75">
      <c r="A288" s="16" t="s">
        <v>875</v>
      </c>
      <c r="B288" t="s">
        <v>827</v>
      </c>
      <c r="C288">
        <f>+Tere_platschelp</f>
        <v>0</v>
      </c>
    </row>
    <row r="289" spans="1:3" ht="12.75">
      <c r="A289" s="16" t="s">
        <v>1108</v>
      </c>
      <c r="B289" t="s">
        <v>1155</v>
      </c>
      <c r="C289">
        <f>+Tere_platschelp_d</f>
        <v>0</v>
      </c>
    </row>
    <row r="290" spans="1:3" ht="12.75">
      <c r="A290" s="16" t="s">
        <v>1109</v>
      </c>
      <c r="B290" t="s">
        <v>1156</v>
      </c>
      <c r="C290">
        <f>+Tere_platschelp_v</f>
        <v>0</v>
      </c>
    </row>
    <row r="291" spans="1:3" ht="12.75">
      <c r="A291" s="16" t="s">
        <v>720</v>
      </c>
      <c r="B291" t="s">
        <v>827</v>
      </c>
      <c r="C291">
        <f>+Venusschelp</f>
        <v>0</v>
      </c>
    </row>
    <row r="292" spans="1:3" ht="12.75">
      <c r="A292" s="16" t="s">
        <v>1111</v>
      </c>
      <c r="B292" t="s">
        <v>1155</v>
      </c>
      <c r="C292">
        <f>+Venusschelp_d</f>
        <v>0</v>
      </c>
    </row>
    <row r="293" spans="1:3" ht="12.75">
      <c r="A293" s="16" t="s">
        <v>1112</v>
      </c>
      <c r="B293" t="s">
        <v>1156</v>
      </c>
      <c r="C293">
        <f>+Venusschelp_v</f>
        <v>0</v>
      </c>
    </row>
    <row r="294" spans="1:3" ht="12.75">
      <c r="A294" s="16" t="s">
        <v>644</v>
      </c>
      <c r="B294" t="s">
        <v>1167</v>
      </c>
      <c r="C294">
        <f>+Viltwier</f>
        <v>0</v>
      </c>
    </row>
    <row r="295" spans="1:3" ht="12.75">
      <c r="A295" s="16" t="s">
        <v>755</v>
      </c>
      <c r="B295" t="s">
        <v>1167</v>
      </c>
      <c r="C295">
        <f>+Vulkaantje</f>
        <v>0</v>
      </c>
    </row>
    <row r="296" spans="1:3" ht="12.75">
      <c r="A296" s="16" t="s">
        <v>683</v>
      </c>
      <c r="B296" t="s">
        <v>1167</v>
      </c>
      <c r="C296">
        <f>+Wakame</f>
        <v>0</v>
      </c>
    </row>
    <row r="297" spans="1:3" ht="12.75">
      <c r="A297" s="16" t="s">
        <v>652</v>
      </c>
      <c r="B297" t="s">
        <v>1167</v>
      </c>
      <c r="C297">
        <f>+Weduweroos</f>
        <v>0</v>
      </c>
    </row>
    <row r="298" spans="1:3" ht="12.75">
      <c r="A298" s="16" t="s">
        <v>692</v>
      </c>
      <c r="B298" t="s">
        <v>1167</v>
      </c>
      <c r="C298">
        <f>+Wenteltrap</f>
        <v>0</v>
      </c>
    </row>
    <row r="299" spans="1:3" ht="12.75">
      <c r="A299" s="16" t="s">
        <v>1115</v>
      </c>
      <c r="B299" t="s">
        <v>1163</v>
      </c>
      <c r="C299">
        <f>+Wenteltrap_l</f>
        <v>0</v>
      </c>
    </row>
    <row r="300" spans="1:3" ht="12.75">
      <c r="A300" s="16" t="s">
        <v>859</v>
      </c>
      <c r="B300" t="s">
        <v>827</v>
      </c>
      <c r="C300">
        <f>+Witte_boormossel</f>
        <v>0</v>
      </c>
    </row>
    <row r="301" spans="1:3" ht="12.75">
      <c r="A301" s="16" t="s">
        <v>1116</v>
      </c>
      <c r="B301" t="s">
        <v>1155</v>
      </c>
      <c r="C301">
        <f>+Witte_boormossel_d</f>
        <v>0</v>
      </c>
    </row>
    <row r="302" spans="1:3" ht="12.75">
      <c r="A302" s="16" t="s">
        <v>1117</v>
      </c>
      <c r="B302" t="s">
        <v>1156</v>
      </c>
      <c r="C302">
        <f>+Witte_boormossel_v</f>
        <v>0</v>
      </c>
    </row>
    <row r="303" spans="1:3" ht="12.75">
      <c r="A303" s="16" t="s">
        <v>858</v>
      </c>
      <c r="B303" t="s">
        <v>827</v>
      </c>
      <c r="C303">
        <f>+Witte_dunschaal</f>
        <v>0</v>
      </c>
    </row>
    <row r="304" spans="1:3" ht="12.75">
      <c r="A304" s="16" t="s">
        <v>1118</v>
      </c>
      <c r="B304" t="s">
        <v>1155</v>
      </c>
      <c r="C304">
        <f>+Witte_dunschaal_d</f>
        <v>0</v>
      </c>
    </row>
    <row r="305" spans="1:3" ht="12.75">
      <c r="A305" s="16" t="s">
        <v>1119</v>
      </c>
      <c r="B305" t="s">
        <v>1156</v>
      </c>
      <c r="C305">
        <f>+Witte_dunschaal_v</f>
        <v>0</v>
      </c>
    </row>
    <row r="306" spans="1:3" ht="12.75">
      <c r="A306" s="16" t="s">
        <v>772</v>
      </c>
      <c r="B306" s="21" t="s">
        <v>761</v>
      </c>
      <c r="C306">
        <f>+Wolhandkrab</f>
        <v>0</v>
      </c>
    </row>
    <row r="307" spans="1:3" ht="12.75">
      <c r="A307" s="16" t="s">
        <v>1120</v>
      </c>
      <c r="B307" s="21" t="s">
        <v>1161</v>
      </c>
      <c r="C307">
        <f>+Wolhandkrab_d</f>
        <v>0</v>
      </c>
    </row>
    <row r="308" spans="1:3" ht="12.75">
      <c r="A308" s="16" t="s">
        <v>1121</v>
      </c>
      <c r="B308" s="21" t="s">
        <v>1162</v>
      </c>
      <c r="C308">
        <f>+Wolhandkrab_ei</f>
        <v>0</v>
      </c>
    </row>
    <row r="309" spans="1:3" ht="12.75">
      <c r="A309" s="16" t="s">
        <v>1122</v>
      </c>
      <c r="B309" s="21" t="s">
        <v>1163</v>
      </c>
      <c r="C309">
        <f>+Wolhandkrab_l</f>
        <v>0</v>
      </c>
    </row>
    <row r="310" spans="1:3" ht="12.75">
      <c r="A310" s="16" t="s">
        <v>1123</v>
      </c>
      <c r="B310" s="21" t="s">
        <v>1164</v>
      </c>
      <c r="C310">
        <f>+Wolhandkrab_v</f>
        <v>0</v>
      </c>
    </row>
    <row r="311" spans="1:3" ht="12.75">
      <c r="A311" s="16" t="s">
        <v>1126</v>
      </c>
      <c r="B311" s="21" t="s">
        <v>1167</v>
      </c>
      <c r="C311">
        <f>+Wulk</f>
        <v>0</v>
      </c>
    </row>
    <row r="312" spans="1:3" ht="12.75">
      <c r="A312" s="16" t="s">
        <v>1127</v>
      </c>
      <c r="B312" s="21" t="s">
        <v>1162</v>
      </c>
      <c r="C312">
        <f>+Wulk_ei</f>
        <v>0</v>
      </c>
    </row>
    <row r="313" spans="1:3" ht="12.75">
      <c r="A313" s="16" t="s">
        <v>1128</v>
      </c>
      <c r="B313" s="21" t="s">
        <v>1163</v>
      </c>
      <c r="C313">
        <f>+Wulk_l</f>
        <v>0</v>
      </c>
    </row>
    <row r="314" spans="1:3" ht="12.75">
      <c r="A314" s="16" t="s">
        <v>723</v>
      </c>
      <c r="B314" t="s">
        <v>827</v>
      </c>
      <c r="C314">
        <f>+Zaagje</f>
        <v>0</v>
      </c>
    </row>
    <row r="315" spans="1:3" ht="12.75">
      <c r="A315" s="16" t="s">
        <v>1129</v>
      </c>
      <c r="B315" t="s">
        <v>1155</v>
      </c>
      <c r="C315">
        <f>+Zaagje_d</f>
        <v>0</v>
      </c>
    </row>
    <row r="316" spans="1:3" ht="12.75">
      <c r="A316" s="16" t="s">
        <v>1130</v>
      </c>
      <c r="B316" t="s">
        <v>1156</v>
      </c>
      <c r="C316">
        <f>+Zaagje_v</f>
        <v>0</v>
      </c>
    </row>
    <row r="317" spans="1:3" ht="12.75">
      <c r="A317" s="16" t="s">
        <v>681</v>
      </c>
      <c r="B317" t="s">
        <v>1167</v>
      </c>
      <c r="C317">
        <f>+Zandkokerworm</f>
        <v>0</v>
      </c>
    </row>
    <row r="318" spans="1:3" ht="12.75">
      <c r="A318" s="16" t="s">
        <v>1131</v>
      </c>
      <c r="B318" t="s">
        <v>1165</v>
      </c>
      <c r="C318">
        <f>+Zandkokerworm_l</f>
        <v>0</v>
      </c>
    </row>
    <row r="319" spans="1:3" ht="12.75">
      <c r="A319" s="16" t="s">
        <v>646</v>
      </c>
      <c r="B319" t="s">
        <v>1167</v>
      </c>
      <c r="C319">
        <f>+Zeeanjelier</f>
        <v>0</v>
      </c>
    </row>
    <row r="320" spans="1:3" ht="12.75">
      <c r="A320" s="16" t="s">
        <v>798</v>
      </c>
      <c r="B320" s="21" t="s">
        <v>1167</v>
      </c>
      <c r="C320">
        <f>+Zeeappel</f>
        <v>0</v>
      </c>
    </row>
    <row r="321" spans="1:3" ht="12.75">
      <c r="A321" s="16" t="s">
        <v>1132</v>
      </c>
      <c r="B321" s="21" t="s">
        <v>1163</v>
      </c>
      <c r="C321">
        <f>+Zeeappel_l</f>
        <v>0</v>
      </c>
    </row>
    <row r="322" spans="1:3" ht="12.75">
      <c r="A322" s="16" t="s">
        <v>1133</v>
      </c>
      <c r="B322" s="21" t="s">
        <v>1156</v>
      </c>
      <c r="C322">
        <f>+Zeeappel_v</f>
        <v>0</v>
      </c>
    </row>
    <row r="323" spans="1:3" ht="12.75">
      <c r="A323" s="16" t="s">
        <v>793</v>
      </c>
      <c r="B323" s="21" t="s">
        <v>1167</v>
      </c>
      <c r="C323">
        <f>+Zeeboontje</f>
        <v>0</v>
      </c>
    </row>
    <row r="324" spans="1:3" ht="12.75">
      <c r="A324" s="16" t="s">
        <v>1134</v>
      </c>
      <c r="B324" s="21" t="s">
        <v>1163</v>
      </c>
      <c r="C324">
        <f>+Zeeboontje_l</f>
        <v>0</v>
      </c>
    </row>
    <row r="325" spans="1:3" ht="12.75">
      <c r="A325" s="16" t="s">
        <v>1135</v>
      </c>
      <c r="B325" s="21" t="s">
        <v>1156</v>
      </c>
      <c r="C325">
        <f>+Zeeboontje_v</f>
        <v>0</v>
      </c>
    </row>
    <row r="326" spans="1:3" ht="12.75">
      <c r="A326" s="17" t="s">
        <v>1365</v>
      </c>
      <c r="B326" s="21" t="s">
        <v>1167</v>
      </c>
      <c r="C326">
        <f>+Zeecypres_k</f>
        <v>0</v>
      </c>
    </row>
    <row r="327" spans="1:3" ht="12.75">
      <c r="A327" s="17" t="s">
        <v>1369</v>
      </c>
      <c r="B327" s="21" t="s">
        <v>1167</v>
      </c>
      <c r="C327">
        <f>+Zeedennetje_k</f>
        <v>0</v>
      </c>
    </row>
    <row r="328" spans="1:3" ht="12.75">
      <c r="A328" s="16" t="s">
        <v>639</v>
      </c>
      <c r="B328" t="s">
        <v>1167</v>
      </c>
      <c r="C328">
        <f>+Zeedruif</f>
        <v>0</v>
      </c>
    </row>
    <row r="329" spans="1:3" ht="12.75">
      <c r="A329" s="16" t="s">
        <v>707</v>
      </c>
      <c r="B329" s="21" t="s">
        <v>1167</v>
      </c>
      <c r="C329">
        <f>+Zeekat</f>
        <v>0</v>
      </c>
    </row>
    <row r="330" spans="1:3" ht="12.75">
      <c r="A330" s="16" t="s">
        <v>1136</v>
      </c>
      <c r="B330" s="21" t="s">
        <v>1168</v>
      </c>
      <c r="C330">
        <f>+Zeekat_ei</f>
        <v>0</v>
      </c>
    </row>
    <row r="331" spans="1:3" ht="12.75">
      <c r="A331" s="16" t="s">
        <v>1137</v>
      </c>
      <c r="B331" s="21" t="s">
        <v>1156</v>
      </c>
      <c r="C331">
        <f>+Zeekat_v</f>
        <v>0</v>
      </c>
    </row>
    <row r="332" spans="1:3" ht="12.75">
      <c r="A332" s="16" t="s">
        <v>791</v>
      </c>
      <c r="B332" s="21" t="s">
        <v>1167</v>
      </c>
      <c r="C332">
        <f>+Zeeklit</f>
        <v>0</v>
      </c>
    </row>
    <row r="333" spans="1:3" ht="12.75">
      <c r="A333" s="16" t="s">
        <v>1138</v>
      </c>
      <c r="B333" s="21" t="s">
        <v>1163</v>
      </c>
      <c r="C333">
        <f>+Zeeklit_l</f>
        <v>0</v>
      </c>
    </row>
    <row r="334" spans="1:3" ht="12.75">
      <c r="A334" s="16" t="s">
        <v>1139</v>
      </c>
      <c r="B334" s="21" t="s">
        <v>1156</v>
      </c>
      <c r="C334">
        <f>+Zeeklit_v</f>
        <v>0</v>
      </c>
    </row>
    <row r="335" spans="1:3" ht="12.75">
      <c r="A335" s="16" t="s">
        <v>634</v>
      </c>
      <c r="B335" s="21" t="s">
        <v>1167</v>
      </c>
      <c r="C335">
        <f>+Zeepaddestoel</f>
        <v>0</v>
      </c>
    </row>
    <row r="336" spans="1:3" ht="12.75">
      <c r="A336" t="s">
        <v>1370</v>
      </c>
      <c r="B336" t="s">
        <v>1167</v>
      </c>
      <c r="C336">
        <f>+Zeepier</f>
        <v>0</v>
      </c>
    </row>
    <row r="337" spans="1:3" ht="12.75">
      <c r="A337" t="s">
        <v>1371</v>
      </c>
      <c r="B337" t="s">
        <v>1156</v>
      </c>
      <c r="C337">
        <f>+Zeepier_v</f>
        <v>0</v>
      </c>
    </row>
    <row r="338" spans="1:3" ht="12.75">
      <c r="A338" s="16" t="s">
        <v>1153</v>
      </c>
      <c r="B338" s="21" t="s">
        <v>1167</v>
      </c>
      <c r="C338">
        <f>+Zeesla</f>
        <v>0</v>
      </c>
    </row>
    <row r="339" spans="1:3" ht="12.75">
      <c r="A339" s="16" t="s">
        <v>1140</v>
      </c>
      <c r="B339" s="21" t="s">
        <v>1163</v>
      </c>
      <c r="C339">
        <f>+Zeester_l</f>
        <v>0</v>
      </c>
    </row>
    <row r="340" spans="1:3" ht="12.75">
      <c r="A340" s="16" t="s">
        <v>1141</v>
      </c>
      <c r="B340" s="21" t="s">
        <v>1156</v>
      </c>
      <c r="C340">
        <f>+Zeester_v</f>
        <v>0</v>
      </c>
    </row>
    <row r="341" spans="1:3" ht="12.75">
      <c r="A341" s="16" t="s">
        <v>816</v>
      </c>
      <c r="B341" s="21" t="s">
        <v>1167</v>
      </c>
      <c r="C341">
        <f>+Zeevitrage</f>
        <v>0</v>
      </c>
    </row>
    <row r="342" spans="1:3" ht="12.75">
      <c r="A342" s="16" t="s">
        <v>904</v>
      </c>
      <c r="B342" t="s">
        <v>1157</v>
      </c>
      <c r="C342">
        <f>+Bij_ab01</f>
        <v>0</v>
      </c>
    </row>
    <row r="343" spans="1:3" ht="12.75">
      <c r="A343" s="16" t="s">
        <v>905</v>
      </c>
      <c r="B343" t="s">
        <v>1157</v>
      </c>
      <c r="C343">
        <f>+Bij_ab02</f>
        <v>0</v>
      </c>
    </row>
    <row r="344" spans="1:3" ht="12.75">
      <c r="A344" s="16" t="s">
        <v>906</v>
      </c>
      <c r="B344" t="s">
        <v>1157</v>
      </c>
      <c r="C344">
        <f>+Bij_ab03</f>
        <v>0</v>
      </c>
    </row>
    <row r="345" spans="1:3" ht="12.75">
      <c r="A345" s="16" t="s">
        <v>907</v>
      </c>
      <c r="B345" t="s">
        <v>1157</v>
      </c>
      <c r="C345">
        <f>+Bij_ab04</f>
        <v>0</v>
      </c>
    </row>
    <row r="346" spans="1:3" ht="12.75">
      <c r="A346" s="16" t="s">
        <v>908</v>
      </c>
      <c r="B346" t="s">
        <v>1157</v>
      </c>
      <c r="C346">
        <f>+Bij_ab05</f>
        <v>0</v>
      </c>
    </row>
    <row r="347" spans="1:3" ht="12.75">
      <c r="A347" s="16" t="s">
        <v>909</v>
      </c>
      <c r="B347" t="s">
        <v>1157</v>
      </c>
      <c r="C347">
        <f>+Bij_ab06</f>
        <v>0</v>
      </c>
    </row>
    <row r="348" spans="1:3" ht="12.75">
      <c r="A348" s="16" t="s">
        <v>910</v>
      </c>
      <c r="B348" t="s">
        <v>1157</v>
      </c>
      <c r="C348">
        <f>+Bij_ab07</f>
        <v>0</v>
      </c>
    </row>
    <row r="349" spans="1:3" ht="12.75">
      <c r="A349" s="16" t="s">
        <v>911</v>
      </c>
      <c r="B349" t="s">
        <v>1157</v>
      </c>
      <c r="C349">
        <f>+Bij_ab08</f>
        <v>0</v>
      </c>
    </row>
    <row r="350" spans="1:3" ht="12.75">
      <c r="A350" s="16" t="s">
        <v>912</v>
      </c>
      <c r="B350" t="s">
        <v>1157</v>
      </c>
      <c r="C350">
        <f>+Bij_ab09</f>
        <v>0</v>
      </c>
    </row>
    <row r="351" spans="1:3" ht="12.75">
      <c r="A351" s="16" t="s">
        <v>913</v>
      </c>
      <c r="B351" t="s">
        <v>1157</v>
      </c>
      <c r="C351">
        <f>+Bij_ab10</f>
        <v>0</v>
      </c>
    </row>
    <row r="352" spans="1:3" ht="12.75">
      <c r="A352" s="16" t="s">
        <v>914</v>
      </c>
      <c r="B352" t="s">
        <v>1157</v>
      </c>
      <c r="C352">
        <f>+Bij_ab11</f>
        <v>0</v>
      </c>
    </row>
    <row r="353" spans="1:3" ht="12.75">
      <c r="A353" s="16" t="s">
        <v>915</v>
      </c>
      <c r="B353" t="s">
        <v>1157</v>
      </c>
      <c r="C353">
        <f>+Bij_ab12</f>
        <v>0</v>
      </c>
    </row>
    <row r="354" spans="1:3" ht="12.75">
      <c r="A354" s="16" t="s">
        <v>916</v>
      </c>
      <c r="B354" t="s">
        <v>1157</v>
      </c>
      <c r="C354">
        <f>+Bij_ab13</f>
        <v>0</v>
      </c>
    </row>
    <row r="355" spans="1:3" ht="12.75">
      <c r="A355" s="16" t="s">
        <v>1405</v>
      </c>
      <c r="B355" t="s">
        <v>1157</v>
      </c>
      <c r="C355">
        <f>+Bij_ab14</f>
        <v>0</v>
      </c>
    </row>
    <row r="356" spans="1:3" ht="12.75">
      <c r="A356" s="16" t="s">
        <v>1406</v>
      </c>
      <c r="B356" t="s">
        <v>1157</v>
      </c>
      <c r="C356">
        <f>+Bij_ab15</f>
        <v>0</v>
      </c>
    </row>
    <row r="357" spans="1:3" ht="12.75">
      <c r="A357" s="16" t="s">
        <v>1407</v>
      </c>
      <c r="B357" t="s">
        <v>1157</v>
      </c>
      <c r="C357">
        <f>+Bij_ab16</f>
        <v>0</v>
      </c>
    </row>
    <row r="358" spans="1:3" ht="12.75">
      <c r="A358" s="16" t="s">
        <v>1408</v>
      </c>
      <c r="B358" t="s">
        <v>1157</v>
      </c>
      <c r="C358">
        <f>+Bij_ab17</f>
        <v>0</v>
      </c>
    </row>
    <row r="359" spans="1:3" ht="12.75">
      <c r="A359" s="16" t="s">
        <v>1409</v>
      </c>
      <c r="B359" t="s">
        <v>1157</v>
      </c>
      <c r="C359">
        <f>+Bij_ab18</f>
        <v>0</v>
      </c>
    </row>
    <row r="360" spans="1:3" ht="12.75">
      <c r="A360" s="16" t="s">
        <v>1410</v>
      </c>
      <c r="B360" t="s">
        <v>1157</v>
      </c>
      <c r="C360">
        <f>+Bij_ab19</f>
        <v>0</v>
      </c>
    </row>
    <row r="361" spans="1:3" ht="12.75">
      <c r="A361" s="16" t="s">
        <v>1411</v>
      </c>
      <c r="B361" t="s">
        <v>1157</v>
      </c>
      <c r="C361">
        <f>+Bij_ab20</f>
        <v>0</v>
      </c>
    </row>
    <row r="362" spans="1:3" ht="12.75">
      <c r="A362" s="16" t="s">
        <v>1412</v>
      </c>
      <c r="B362" t="s">
        <v>1157</v>
      </c>
      <c r="C362">
        <f>+Bij_ab21</f>
        <v>0</v>
      </c>
    </row>
    <row r="363" spans="1:3" ht="12.75">
      <c r="A363" s="16" t="s">
        <v>1413</v>
      </c>
      <c r="B363" t="s">
        <v>1157</v>
      </c>
      <c r="C363">
        <f>+Bij_ab22</f>
        <v>0</v>
      </c>
    </row>
    <row r="364" spans="1:3" ht="12.75">
      <c r="A364" s="16" t="s">
        <v>1414</v>
      </c>
      <c r="B364" t="s">
        <v>1157</v>
      </c>
      <c r="C364">
        <f>+Bij_ab23</f>
        <v>0</v>
      </c>
    </row>
    <row r="365" spans="1:3" ht="12.75">
      <c r="A365" s="16" t="s">
        <v>1415</v>
      </c>
      <c r="B365" t="s">
        <v>1157</v>
      </c>
      <c r="C365">
        <f>+Bij_ab24</f>
        <v>0</v>
      </c>
    </row>
    <row r="366" spans="1:3" ht="12.75">
      <c r="A366" s="16" t="s">
        <v>1416</v>
      </c>
      <c r="B366" t="s">
        <v>1157</v>
      </c>
      <c r="C366">
        <f>+Bij_ab25</f>
        <v>0</v>
      </c>
    </row>
    <row r="367" spans="1:3" ht="12.75">
      <c r="A367" s="16" t="s">
        <v>1417</v>
      </c>
      <c r="B367" t="s">
        <v>1157</v>
      </c>
      <c r="C367">
        <f>+Bij_ab26</f>
        <v>0</v>
      </c>
    </row>
    <row r="368" spans="1:3" ht="12.75">
      <c r="A368" s="16" t="s">
        <v>1418</v>
      </c>
      <c r="B368" t="s">
        <v>1157</v>
      </c>
      <c r="C368">
        <f>+Bij_ab27</f>
        <v>0</v>
      </c>
    </row>
    <row r="369" spans="1:3" ht="12.75">
      <c r="A369" s="16" t="s">
        <v>1419</v>
      </c>
      <c r="B369" t="s">
        <v>1157</v>
      </c>
      <c r="C369">
        <f>+Bij_ab28</f>
        <v>0</v>
      </c>
    </row>
    <row r="370" spans="1:3" ht="12.75">
      <c r="A370" s="16" t="s">
        <v>1420</v>
      </c>
      <c r="B370" t="s">
        <v>1157</v>
      </c>
      <c r="C370">
        <f>+Bij_ab29</f>
        <v>0</v>
      </c>
    </row>
    <row r="371" spans="1:3" ht="12.75">
      <c r="A371" s="16" t="s">
        <v>1421</v>
      </c>
      <c r="B371" t="s">
        <v>1157</v>
      </c>
      <c r="C371">
        <f>+Bij_ab30</f>
        <v>0</v>
      </c>
    </row>
    <row r="372" spans="1:3" ht="12.75">
      <c r="A372" s="16" t="s">
        <v>917</v>
      </c>
      <c r="B372" s="15" t="s">
        <v>1158</v>
      </c>
      <c r="C372">
        <f>+Bij_cat01</f>
        <v>0</v>
      </c>
    </row>
    <row r="373" spans="1:3" ht="12.75">
      <c r="A373" s="16" t="s">
        <v>918</v>
      </c>
      <c r="B373" s="15" t="s">
        <v>1158</v>
      </c>
      <c r="C373">
        <f>+Bij_cat02</f>
        <v>0</v>
      </c>
    </row>
    <row r="374" spans="1:3" ht="12.75">
      <c r="A374" s="16" t="s">
        <v>919</v>
      </c>
      <c r="B374" s="15" t="s">
        <v>1158</v>
      </c>
      <c r="C374">
        <f>+Bij_cat03</f>
        <v>0</v>
      </c>
    </row>
    <row r="375" spans="1:3" ht="12.75">
      <c r="A375" s="16" t="s">
        <v>920</v>
      </c>
      <c r="B375" s="15" t="s">
        <v>1158</v>
      </c>
      <c r="C375">
        <f>+Bij_cat04</f>
        <v>0</v>
      </c>
    </row>
    <row r="376" spans="1:3" ht="12.75">
      <c r="A376" s="16" t="s">
        <v>921</v>
      </c>
      <c r="B376" s="15" t="s">
        <v>1158</v>
      </c>
      <c r="C376">
        <f>+Bij_cat05</f>
        <v>0</v>
      </c>
    </row>
    <row r="377" spans="1:3" ht="12.75">
      <c r="A377" s="16" t="s">
        <v>922</v>
      </c>
      <c r="B377" s="15" t="s">
        <v>1158</v>
      </c>
      <c r="C377">
        <f>+Bij_cat06</f>
        <v>0</v>
      </c>
    </row>
    <row r="378" spans="1:3" ht="12.75">
      <c r="A378" s="16" t="s">
        <v>923</v>
      </c>
      <c r="B378" s="15" t="s">
        <v>1158</v>
      </c>
      <c r="C378">
        <f>+Bij_cat07</f>
        <v>0</v>
      </c>
    </row>
    <row r="379" spans="1:3" ht="12.75">
      <c r="A379" s="16" t="s">
        <v>924</v>
      </c>
      <c r="B379" s="15" t="s">
        <v>1158</v>
      </c>
      <c r="C379">
        <f>+Bij_cat08</f>
        <v>0</v>
      </c>
    </row>
    <row r="380" spans="1:3" ht="12.75">
      <c r="A380" s="16" t="s">
        <v>925</v>
      </c>
      <c r="B380" s="15" t="s">
        <v>1158</v>
      </c>
      <c r="C380">
        <f>+Bij_cat09</f>
        <v>0</v>
      </c>
    </row>
    <row r="381" spans="1:3" ht="12.75">
      <c r="A381" s="16" t="s">
        <v>926</v>
      </c>
      <c r="B381" s="15" t="s">
        <v>1158</v>
      </c>
      <c r="C381">
        <f>+Bij_cat10</f>
        <v>0</v>
      </c>
    </row>
    <row r="382" spans="1:3" ht="12.75">
      <c r="A382" s="16" t="s">
        <v>927</v>
      </c>
      <c r="B382" s="15" t="s">
        <v>1158</v>
      </c>
      <c r="C382">
        <f>+Bij_cat11</f>
        <v>0</v>
      </c>
    </row>
    <row r="383" spans="1:3" ht="12.75">
      <c r="A383" s="16" t="s">
        <v>928</v>
      </c>
      <c r="B383" s="15" t="s">
        <v>1158</v>
      </c>
      <c r="C383">
        <f>+Bij_cat12</f>
        <v>0</v>
      </c>
    </row>
    <row r="384" spans="1:3" ht="12.75">
      <c r="A384" s="16" t="s">
        <v>929</v>
      </c>
      <c r="B384" s="15" t="s">
        <v>1158</v>
      </c>
      <c r="C384">
        <f>+Bij_cat13</f>
        <v>0</v>
      </c>
    </row>
    <row r="385" spans="1:3" ht="12.75">
      <c r="A385" s="16" t="s">
        <v>1422</v>
      </c>
      <c r="B385" s="15" t="s">
        <v>1158</v>
      </c>
      <c r="C385">
        <f>+Bij_cat14</f>
        <v>0</v>
      </c>
    </row>
    <row r="386" spans="1:3" ht="12.75">
      <c r="A386" s="16" t="s">
        <v>1423</v>
      </c>
      <c r="B386" s="15" t="s">
        <v>1158</v>
      </c>
      <c r="C386">
        <f>+Bij_cat15</f>
        <v>0</v>
      </c>
    </row>
    <row r="387" spans="1:3" ht="12.75">
      <c r="A387" s="16" t="s">
        <v>1424</v>
      </c>
      <c r="B387" s="15" t="s">
        <v>1158</v>
      </c>
      <c r="C387">
        <f>+Bij_cat16</f>
        <v>0</v>
      </c>
    </row>
    <row r="388" spans="1:3" ht="12.75">
      <c r="A388" s="16" t="s">
        <v>1425</v>
      </c>
      <c r="B388" s="15" t="s">
        <v>1158</v>
      </c>
      <c r="C388">
        <f>+Bij_cat17</f>
        <v>0</v>
      </c>
    </row>
    <row r="389" spans="1:3" ht="12.75">
      <c r="A389" s="16" t="s">
        <v>1426</v>
      </c>
      <c r="B389" s="15" t="s">
        <v>1158</v>
      </c>
      <c r="C389">
        <f>+Bij_cat18</f>
        <v>0</v>
      </c>
    </row>
    <row r="390" spans="1:3" ht="12.75">
      <c r="A390" s="16" t="s">
        <v>1427</v>
      </c>
      <c r="B390" s="15" t="s">
        <v>1158</v>
      </c>
      <c r="C390">
        <f>+Bij_cat19</f>
        <v>0</v>
      </c>
    </row>
    <row r="391" spans="1:3" ht="12.75">
      <c r="A391" s="16" t="s">
        <v>1428</v>
      </c>
      <c r="B391" s="15" t="s">
        <v>1158</v>
      </c>
      <c r="C391">
        <f>+Bij_cat20</f>
        <v>0</v>
      </c>
    </row>
    <row r="392" spans="1:3" ht="12.75">
      <c r="A392" s="16" t="s">
        <v>1429</v>
      </c>
      <c r="B392" s="15" t="s">
        <v>1158</v>
      </c>
      <c r="C392">
        <f>+Bij_cat21</f>
        <v>0</v>
      </c>
    </row>
    <row r="393" spans="1:3" ht="12.75">
      <c r="A393" s="16" t="s">
        <v>1430</v>
      </c>
      <c r="B393" s="15" t="s">
        <v>1158</v>
      </c>
      <c r="C393">
        <f>+Bij_cat22</f>
        <v>0</v>
      </c>
    </row>
    <row r="394" spans="1:3" ht="12.75">
      <c r="A394" s="16" t="s">
        <v>1431</v>
      </c>
      <c r="B394" s="15" t="s">
        <v>1158</v>
      </c>
      <c r="C394">
        <f>+Bij_cat23</f>
        <v>0</v>
      </c>
    </row>
    <row r="395" spans="1:3" ht="12.75">
      <c r="A395" s="16" t="s">
        <v>1432</v>
      </c>
      <c r="B395" s="15" t="s">
        <v>1158</v>
      </c>
      <c r="C395">
        <f>+Bij_cat24</f>
        <v>0</v>
      </c>
    </row>
    <row r="396" spans="1:3" ht="12.75">
      <c r="A396" s="16" t="s">
        <v>1433</v>
      </c>
      <c r="B396" s="15" t="s">
        <v>1158</v>
      </c>
      <c r="C396">
        <f>+Bij_cat25</f>
        <v>0</v>
      </c>
    </row>
    <row r="397" spans="1:3" ht="12.75">
      <c r="A397" s="16" t="s">
        <v>1434</v>
      </c>
      <c r="B397" s="15" t="s">
        <v>1158</v>
      </c>
      <c r="C397">
        <f>+Bij_cat26</f>
        <v>0</v>
      </c>
    </row>
    <row r="398" spans="1:3" ht="12.75">
      <c r="A398" s="16" t="s">
        <v>1435</v>
      </c>
      <c r="B398" s="15" t="s">
        <v>1158</v>
      </c>
      <c r="C398">
        <f>+Bij_cat27</f>
        <v>0</v>
      </c>
    </row>
    <row r="399" spans="1:3" ht="12.75">
      <c r="A399" s="16" t="s">
        <v>1436</v>
      </c>
      <c r="B399" s="15" t="s">
        <v>1158</v>
      </c>
      <c r="C399">
        <f>+Bij_cat28</f>
        <v>0</v>
      </c>
    </row>
    <row r="400" spans="1:3" ht="12.75">
      <c r="A400" s="16" t="s">
        <v>1437</v>
      </c>
      <c r="B400" s="15" t="s">
        <v>1158</v>
      </c>
      <c r="C400">
        <f>+Bij_cat29</f>
        <v>0</v>
      </c>
    </row>
    <row r="401" spans="1:3" ht="12.75">
      <c r="A401" s="16" t="s">
        <v>1438</v>
      </c>
      <c r="B401" s="15" t="s">
        <v>1158</v>
      </c>
      <c r="C401">
        <f>+Bij_cat30</f>
        <v>0</v>
      </c>
    </row>
    <row r="402" spans="1:4" ht="12.75">
      <c r="A402" s="16" t="s">
        <v>930</v>
      </c>
      <c r="B402" s="15" t="s">
        <v>1159</v>
      </c>
      <c r="C402">
        <f>+Bij_lat01</f>
        <v>0</v>
      </c>
      <c r="D402">
        <f aca="true" t="shared" si="0" ref="D402:D431">IF(ISERROR(VLOOKUP(C402,Bijwetnaam,2,0)),"",VLOOKUP(C402,Bijwetnaam,2,0))</f>
      </c>
    </row>
    <row r="403" spans="1:4" ht="12.75">
      <c r="A403" s="16" t="s">
        <v>931</v>
      </c>
      <c r="B403" s="15" t="s">
        <v>1159</v>
      </c>
      <c r="C403">
        <f>+Bij_lat02</f>
        <v>0</v>
      </c>
      <c r="D403">
        <f t="shared" si="0"/>
      </c>
    </row>
    <row r="404" spans="1:4" ht="12.75">
      <c r="A404" s="16" t="s">
        <v>932</v>
      </c>
      <c r="B404" s="15" t="s">
        <v>1159</v>
      </c>
      <c r="C404">
        <f>+Bij_lat03</f>
        <v>0</v>
      </c>
      <c r="D404">
        <f t="shared" si="0"/>
      </c>
    </row>
    <row r="405" spans="1:4" ht="12.75">
      <c r="A405" s="16" t="s">
        <v>933</v>
      </c>
      <c r="B405" s="15" t="s">
        <v>1159</v>
      </c>
      <c r="C405">
        <f>+Bij_lat04</f>
        <v>0</v>
      </c>
      <c r="D405">
        <f t="shared" si="0"/>
      </c>
    </row>
    <row r="406" spans="1:4" ht="12.75">
      <c r="A406" s="16" t="s">
        <v>934</v>
      </c>
      <c r="B406" s="15" t="s">
        <v>1159</v>
      </c>
      <c r="C406">
        <f>+Bij_lat05</f>
      </c>
      <c r="D406">
        <f t="shared" si="0"/>
      </c>
    </row>
    <row r="407" spans="1:4" ht="12.75">
      <c r="A407" s="16" t="s">
        <v>935</v>
      </c>
      <c r="B407" s="15" t="s">
        <v>1159</v>
      </c>
      <c r="C407">
        <f>+Bij_lat06</f>
      </c>
      <c r="D407">
        <f t="shared" si="0"/>
      </c>
    </row>
    <row r="408" spans="1:4" ht="12.75">
      <c r="A408" s="16" t="s">
        <v>936</v>
      </c>
      <c r="B408" s="15" t="s">
        <v>1159</v>
      </c>
      <c r="C408">
        <f>+Bij_lat07</f>
      </c>
      <c r="D408">
        <f t="shared" si="0"/>
      </c>
    </row>
    <row r="409" spans="1:4" ht="12.75">
      <c r="A409" s="16" t="s">
        <v>937</v>
      </c>
      <c r="B409" s="15" t="s">
        <v>1159</v>
      </c>
      <c r="C409">
        <f>+Bij_lat08</f>
      </c>
      <c r="D409">
        <f t="shared" si="0"/>
      </c>
    </row>
    <row r="410" spans="1:4" ht="12.75">
      <c r="A410" s="16" t="s">
        <v>938</v>
      </c>
      <c r="B410" s="15" t="s">
        <v>1159</v>
      </c>
      <c r="C410">
        <f>+Bij_lat09</f>
      </c>
      <c r="D410">
        <f t="shared" si="0"/>
      </c>
    </row>
    <row r="411" spans="1:4" ht="12.75">
      <c r="A411" s="16" t="s">
        <v>939</v>
      </c>
      <c r="B411" s="15" t="s">
        <v>1159</v>
      </c>
      <c r="C411">
        <f>+Bij_lat10</f>
      </c>
      <c r="D411">
        <f t="shared" si="0"/>
      </c>
    </row>
    <row r="412" spans="1:4" ht="12.75">
      <c r="A412" s="16" t="s">
        <v>940</v>
      </c>
      <c r="B412" s="15" t="s">
        <v>1159</v>
      </c>
      <c r="C412">
        <f>+Bij_lat11</f>
      </c>
      <c r="D412">
        <f t="shared" si="0"/>
      </c>
    </row>
    <row r="413" spans="1:4" ht="12.75">
      <c r="A413" s="16" t="s">
        <v>941</v>
      </c>
      <c r="B413" s="15" t="s">
        <v>1159</v>
      </c>
      <c r="C413">
        <f>+Bij_lat12</f>
      </c>
      <c r="D413">
        <f t="shared" si="0"/>
      </c>
    </row>
    <row r="414" spans="1:4" ht="12.75">
      <c r="A414" s="16" t="s">
        <v>942</v>
      </c>
      <c r="B414" s="15" t="s">
        <v>1159</v>
      </c>
      <c r="C414">
        <f>+Bij_lat13</f>
      </c>
      <c r="D414">
        <f t="shared" si="0"/>
      </c>
    </row>
    <row r="415" spans="1:4" ht="12.75">
      <c r="A415" s="16" t="s">
        <v>1440</v>
      </c>
      <c r="B415" s="15" t="s">
        <v>1159</v>
      </c>
      <c r="C415">
        <f>+Bij_lat14</f>
      </c>
      <c r="D415">
        <f t="shared" si="0"/>
      </c>
    </row>
    <row r="416" spans="1:4" ht="12.75">
      <c r="A416" s="16" t="s">
        <v>1441</v>
      </c>
      <c r="B416" s="15" t="s">
        <v>1159</v>
      </c>
      <c r="C416">
        <f>+Bij_lat15</f>
      </c>
      <c r="D416">
        <f t="shared" si="0"/>
      </c>
    </row>
    <row r="417" spans="1:4" ht="12.75">
      <c r="A417" s="16" t="s">
        <v>1442</v>
      </c>
      <c r="B417" s="15" t="s">
        <v>1159</v>
      </c>
      <c r="C417">
        <f>+Bij_lat16</f>
      </c>
      <c r="D417">
        <f t="shared" si="0"/>
      </c>
    </row>
    <row r="418" spans="1:4" ht="12.75">
      <c r="A418" s="16" t="s">
        <v>1443</v>
      </c>
      <c r="B418" s="15" t="s">
        <v>1159</v>
      </c>
      <c r="C418">
        <f>+Bij_lat17</f>
      </c>
      <c r="D418">
        <f t="shared" si="0"/>
      </c>
    </row>
    <row r="419" spans="1:4" ht="12.75">
      <c r="A419" s="16" t="s">
        <v>1444</v>
      </c>
      <c r="B419" s="15" t="s">
        <v>1159</v>
      </c>
      <c r="C419">
        <f>+Bij_lat18</f>
      </c>
      <c r="D419">
        <f t="shared" si="0"/>
      </c>
    </row>
    <row r="420" spans="1:4" ht="12.75">
      <c r="A420" s="16" t="s">
        <v>1445</v>
      </c>
      <c r="B420" s="15" t="s">
        <v>1159</v>
      </c>
      <c r="C420">
        <f>+Bij_lat19</f>
      </c>
      <c r="D420">
        <f t="shared" si="0"/>
      </c>
    </row>
    <row r="421" spans="1:4" ht="12.75">
      <c r="A421" s="16" t="s">
        <v>1446</v>
      </c>
      <c r="B421" s="15" t="s">
        <v>1159</v>
      </c>
      <c r="C421">
        <f>+Bij_lat20</f>
      </c>
      <c r="D421">
        <f t="shared" si="0"/>
      </c>
    </row>
    <row r="422" spans="1:4" ht="12.75">
      <c r="A422" s="16" t="s">
        <v>1447</v>
      </c>
      <c r="B422" s="15" t="s">
        <v>1159</v>
      </c>
      <c r="C422">
        <f>+Bij_lat21</f>
      </c>
      <c r="D422">
        <f t="shared" si="0"/>
      </c>
    </row>
    <row r="423" spans="1:4" ht="12.75">
      <c r="A423" s="16" t="s">
        <v>1448</v>
      </c>
      <c r="B423" s="15" t="s">
        <v>1159</v>
      </c>
      <c r="C423">
        <f>+Bij_lat22</f>
      </c>
      <c r="D423">
        <f t="shared" si="0"/>
      </c>
    </row>
    <row r="424" spans="1:4" ht="12.75">
      <c r="A424" s="16" t="s">
        <v>1449</v>
      </c>
      <c r="B424" s="15" t="s">
        <v>1159</v>
      </c>
      <c r="C424">
        <f>+Bij_lat23</f>
      </c>
      <c r="D424">
        <f t="shared" si="0"/>
      </c>
    </row>
    <row r="425" spans="1:4" ht="12.75">
      <c r="A425" s="16" t="s">
        <v>1450</v>
      </c>
      <c r="B425" s="15" t="s">
        <v>1159</v>
      </c>
      <c r="C425">
        <f>+Bij_lat24</f>
      </c>
      <c r="D425">
        <f t="shared" si="0"/>
      </c>
    </row>
    <row r="426" spans="1:4" ht="12.75">
      <c r="A426" s="16" t="s">
        <v>1451</v>
      </c>
      <c r="B426" s="15" t="s">
        <v>1159</v>
      </c>
      <c r="C426">
        <f>+Bij_lat25</f>
      </c>
      <c r="D426">
        <f t="shared" si="0"/>
      </c>
    </row>
    <row r="427" spans="1:4" ht="12.75">
      <c r="A427" s="16" t="s">
        <v>1452</v>
      </c>
      <c r="B427" s="15" t="s">
        <v>1159</v>
      </c>
      <c r="C427">
        <f>+Bij_lat26</f>
      </c>
      <c r="D427">
        <f t="shared" si="0"/>
      </c>
    </row>
    <row r="428" spans="1:4" ht="12.75">
      <c r="A428" s="16" t="s">
        <v>1453</v>
      </c>
      <c r="B428" s="15" t="s">
        <v>1159</v>
      </c>
      <c r="C428">
        <f>+Bij_lat27</f>
      </c>
      <c r="D428">
        <f t="shared" si="0"/>
      </c>
    </row>
    <row r="429" spans="1:4" ht="12.75">
      <c r="A429" s="16" t="s">
        <v>1454</v>
      </c>
      <c r="B429" s="15" t="s">
        <v>1159</v>
      </c>
      <c r="C429">
        <f>+Bij_lat28</f>
      </c>
      <c r="D429">
        <f t="shared" si="0"/>
      </c>
    </row>
    <row r="430" spans="1:4" ht="12.75">
      <c r="A430" s="16" t="s">
        <v>1455</v>
      </c>
      <c r="B430" s="15" t="s">
        <v>1159</v>
      </c>
      <c r="C430">
        <f>+Bij_lat29</f>
      </c>
      <c r="D430">
        <f t="shared" si="0"/>
      </c>
    </row>
    <row r="431" spans="1:4" ht="12.75">
      <c r="A431" s="16" t="s">
        <v>1456</v>
      </c>
      <c r="B431" s="15" t="s">
        <v>1159</v>
      </c>
      <c r="C431">
        <f>+Bij_lat30</f>
      </c>
      <c r="D431">
        <f t="shared" si="0"/>
      </c>
    </row>
    <row r="432" spans="1:4" ht="12.75">
      <c r="A432" s="16" t="s">
        <v>943</v>
      </c>
      <c r="B432" s="15" t="s">
        <v>1160</v>
      </c>
      <c r="C432">
        <f>+Bij_ned01</f>
        <v>0</v>
      </c>
      <c r="D432">
        <f aca="true" t="shared" si="1" ref="D432:D461">IF(ISERROR(VLOOKUP(C432,Bijnednaam,2,0)),"",VLOOKUP(C432,Bijnednaam,2,0))</f>
      </c>
    </row>
    <row r="433" spans="1:4" ht="12.75">
      <c r="A433" s="16" t="s">
        <v>944</v>
      </c>
      <c r="B433" s="15" t="s">
        <v>1160</v>
      </c>
      <c r="C433">
        <f>+Bij_ned02</f>
        <v>0</v>
      </c>
      <c r="D433">
        <f t="shared" si="1"/>
      </c>
    </row>
    <row r="434" spans="1:4" ht="12.75">
      <c r="A434" s="16" t="s">
        <v>945</v>
      </c>
      <c r="B434" s="15" t="s">
        <v>1160</v>
      </c>
      <c r="C434">
        <f>+Bij_ned03</f>
        <v>0</v>
      </c>
      <c r="D434">
        <f t="shared" si="1"/>
      </c>
    </row>
    <row r="435" spans="1:4" ht="12.75">
      <c r="A435" s="16" t="s">
        <v>946</v>
      </c>
      <c r="B435" s="15" t="s">
        <v>1160</v>
      </c>
      <c r="C435">
        <f>+Bij_ned04</f>
        <v>0</v>
      </c>
      <c r="D435">
        <f t="shared" si="1"/>
      </c>
    </row>
    <row r="436" spans="1:4" ht="12.75">
      <c r="A436" s="16" t="s">
        <v>947</v>
      </c>
      <c r="B436" s="15" t="s">
        <v>1160</v>
      </c>
      <c r="C436">
        <f>+Bij_ned05</f>
        <v>0</v>
      </c>
      <c r="D436">
        <f t="shared" si="1"/>
      </c>
    </row>
    <row r="437" spans="1:4" ht="12.75">
      <c r="A437" s="16" t="s">
        <v>948</v>
      </c>
      <c r="B437" s="15" t="s">
        <v>1160</v>
      </c>
      <c r="C437">
        <f>+Bij_ned06</f>
        <v>0</v>
      </c>
      <c r="D437">
        <f t="shared" si="1"/>
      </c>
    </row>
    <row r="438" spans="1:4" ht="12.75">
      <c r="A438" s="16" t="s">
        <v>949</v>
      </c>
      <c r="B438" s="15" t="s">
        <v>1160</v>
      </c>
      <c r="C438">
        <f>+Bij_ned07</f>
        <v>0</v>
      </c>
      <c r="D438">
        <f t="shared" si="1"/>
      </c>
    </row>
    <row r="439" spans="1:4" ht="12.75">
      <c r="A439" s="16" t="s">
        <v>950</v>
      </c>
      <c r="B439" s="15" t="s">
        <v>1160</v>
      </c>
      <c r="C439">
        <f>+Bij_ned08</f>
        <v>0</v>
      </c>
      <c r="D439">
        <f t="shared" si="1"/>
      </c>
    </row>
    <row r="440" spans="1:4" ht="12.75">
      <c r="A440" s="16" t="s">
        <v>951</v>
      </c>
      <c r="B440" s="15" t="s">
        <v>1160</v>
      </c>
      <c r="C440">
        <f>+Bij_ned09</f>
        <v>0</v>
      </c>
      <c r="D440">
        <f t="shared" si="1"/>
      </c>
    </row>
    <row r="441" spans="1:4" ht="12.75">
      <c r="A441" s="16" t="s">
        <v>952</v>
      </c>
      <c r="B441" s="15" t="s">
        <v>1160</v>
      </c>
      <c r="C441">
        <f>+Bij_ned10</f>
        <v>0</v>
      </c>
      <c r="D441">
        <f t="shared" si="1"/>
      </c>
    </row>
    <row r="442" spans="1:4" ht="12.75">
      <c r="A442" s="16" t="s">
        <v>953</v>
      </c>
      <c r="B442" s="15" t="s">
        <v>1160</v>
      </c>
      <c r="C442">
        <f>+Bij_ned11</f>
        <v>0</v>
      </c>
      <c r="D442">
        <f t="shared" si="1"/>
      </c>
    </row>
    <row r="443" spans="1:4" ht="12.75">
      <c r="A443" s="16" t="s">
        <v>954</v>
      </c>
      <c r="B443" s="15" t="s">
        <v>1160</v>
      </c>
      <c r="C443">
        <f>+Bij_ned12</f>
        <v>0</v>
      </c>
      <c r="D443">
        <f t="shared" si="1"/>
      </c>
    </row>
    <row r="444" spans="1:4" ht="12.75">
      <c r="A444" s="16" t="s">
        <v>955</v>
      </c>
      <c r="B444" s="15" t="s">
        <v>1160</v>
      </c>
      <c r="C444">
        <f>+Bij_ned13</f>
        <v>0</v>
      </c>
      <c r="D444">
        <f t="shared" si="1"/>
      </c>
    </row>
    <row r="445" spans="1:4" ht="12.75">
      <c r="A445" s="16" t="s">
        <v>1457</v>
      </c>
      <c r="B445" s="15" t="s">
        <v>1160</v>
      </c>
      <c r="C445">
        <f>+Bij_ned14</f>
        <v>0</v>
      </c>
      <c r="D445">
        <f t="shared" si="1"/>
      </c>
    </row>
    <row r="446" spans="1:4" ht="12.75">
      <c r="A446" s="16" t="s">
        <v>1458</v>
      </c>
      <c r="B446" s="15" t="s">
        <v>1160</v>
      </c>
      <c r="C446">
        <f>+Bij_ned15</f>
        <v>0</v>
      </c>
      <c r="D446">
        <f t="shared" si="1"/>
      </c>
    </row>
    <row r="447" spans="1:4" ht="12.75">
      <c r="A447" s="16" t="s">
        <v>1459</v>
      </c>
      <c r="B447" s="15" t="s">
        <v>1160</v>
      </c>
      <c r="C447">
        <f>+Bij_ned16</f>
        <v>0</v>
      </c>
      <c r="D447">
        <f t="shared" si="1"/>
      </c>
    </row>
    <row r="448" spans="1:4" ht="12.75">
      <c r="A448" s="16" t="s">
        <v>1460</v>
      </c>
      <c r="B448" s="15" t="s">
        <v>1160</v>
      </c>
      <c r="C448">
        <f>+Bij_ned17</f>
        <v>0</v>
      </c>
      <c r="D448">
        <f t="shared" si="1"/>
      </c>
    </row>
    <row r="449" spans="1:4" ht="12.75">
      <c r="A449" s="16" t="s">
        <v>1461</v>
      </c>
      <c r="B449" s="15" t="s">
        <v>1160</v>
      </c>
      <c r="C449">
        <f>+Bij_ned18</f>
        <v>0</v>
      </c>
      <c r="D449">
        <f t="shared" si="1"/>
      </c>
    </row>
    <row r="450" spans="1:4" ht="12.75">
      <c r="A450" s="16" t="s">
        <v>1462</v>
      </c>
      <c r="B450" s="15" t="s">
        <v>1160</v>
      </c>
      <c r="C450">
        <f>+Bij_ned19</f>
        <v>0</v>
      </c>
      <c r="D450">
        <f t="shared" si="1"/>
      </c>
    </row>
    <row r="451" spans="1:4" ht="12.75">
      <c r="A451" s="16" t="s">
        <v>1463</v>
      </c>
      <c r="B451" s="15" t="s">
        <v>1160</v>
      </c>
      <c r="C451">
        <f>+Bij_ned20</f>
        <v>0</v>
      </c>
      <c r="D451">
        <f t="shared" si="1"/>
      </c>
    </row>
    <row r="452" spans="1:4" ht="12.75">
      <c r="A452" s="16" t="s">
        <v>1464</v>
      </c>
      <c r="B452" s="15" t="s">
        <v>1160</v>
      </c>
      <c r="C452">
        <f>+Bij_ned21</f>
        <v>0</v>
      </c>
      <c r="D452">
        <f t="shared" si="1"/>
      </c>
    </row>
    <row r="453" spans="1:4" ht="12.75">
      <c r="A453" s="16" t="s">
        <v>1465</v>
      </c>
      <c r="B453" s="15" t="s">
        <v>1160</v>
      </c>
      <c r="C453">
        <f>+Bij_ned22</f>
        <v>0</v>
      </c>
      <c r="D453">
        <f t="shared" si="1"/>
      </c>
    </row>
    <row r="454" spans="1:4" ht="12.75">
      <c r="A454" s="16" t="s">
        <v>1466</v>
      </c>
      <c r="B454" s="15" t="s">
        <v>1160</v>
      </c>
      <c r="C454">
        <f>+Bij_ned23</f>
        <v>0</v>
      </c>
      <c r="D454">
        <f t="shared" si="1"/>
      </c>
    </row>
    <row r="455" spans="1:4" ht="12.75">
      <c r="A455" s="16" t="s">
        <v>1467</v>
      </c>
      <c r="B455" s="15" t="s">
        <v>1160</v>
      </c>
      <c r="C455">
        <f>+Bij_ned24</f>
        <v>0</v>
      </c>
      <c r="D455">
        <f t="shared" si="1"/>
      </c>
    </row>
    <row r="456" spans="1:4" ht="12.75">
      <c r="A456" s="16" t="s">
        <v>1468</v>
      </c>
      <c r="B456" s="15" t="s">
        <v>1160</v>
      </c>
      <c r="C456">
        <f>+Bij_ned25</f>
        <v>0</v>
      </c>
      <c r="D456">
        <f t="shared" si="1"/>
      </c>
    </row>
    <row r="457" spans="1:4" ht="12.75">
      <c r="A457" s="16" t="s">
        <v>1469</v>
      </c>
      <c r="B457" s="15" t="s">
        <v>1160</v>
      </c>
      <c r="C457">
        <f>+Bij_ned26</f>
        <v>0</v>
      </c>
      <c r="D457">
        <f t="shared" si="1"/>
      </c>
    </row>
    <row r="458" spans="1:4" ht="12.75">
      <c r="A458" s="16" t="s">
        <v>1470</v>
      </c>
      <c r="B458" s="15" t="s">
        <v>1160</v>
      </c>
      <c r="C458">
        <f>+Bij_ned27</f>
        <v>0</v>
      </c>
      <c r="D458">
        <f t="shared" si="1"/>
      </c>
    </row>
    <row r="459" spans="1:4" ht="12.75">
      <c r="A459" s="16" t="s">
        <v>1471</v>
      </c>
      <c r="B459" s="15" t="s">
        <v>1160</v>
      </c>
      <c r="C459">
        <f>+Bij_ned28</f>
        <v>0</v>
      </c>
      <c r="D459">
        <f t="shared" si="1"/>
      </c>
    </row>
    <row r="460" spans="1:4" ht="12.75">
      <c r="A460" s="16" t="s">
        <v>1472</v>
      </c>
      <c r="B460" s="15" t="s">
        <v>1160</v>
      </c>
      <c r="C460">
        <f>+Bij_ned29</f>
        <v>0</v>
      </c>
      <c r="D460">
        <f t="shared" si="1"/>
      </c>
    </row>
    <row r="461" spans="1:4" ht="12.75">
      <c r="A461" s="16" t="s">
        <v>1473</v>
      </c>
      <c r="B461" s="15" t="s">
        <v>1160</v>
      </c>
      <c r="C461">
        <f>+Bij_ned30</f>
        <v>0</v>
      </c>
      <c r="D461">
        <f t="shared" si="1"/>
      </c>
    </row>
    <row r="462" spans="1:3" ht="12.75">
      <c r="A462" s="16" t="s">
        <v>956</v>
      </c>
      <c r="B462" s="15" t="s">
        <v>1378</v>
      </c>
      <c r="C462">
        <f>+Bij_sd01</f>
        <v>0</v>
      </c>
    </row>
    <row r="463" spans="1:3" ht="12.75">
      <c r="A463" s="16" t="s">
        <v>957</v>
      </c>
      <c r="B463" s="15" t="s">
        <v>1378</v>
      </c>
      <c r="C463">
        <f>+Bij_sd02</f>
        <v>0</v>
      </c>
    </row>
    <row r="464" spans="1:3" ht="12.75">
      <c r="A464" s="16" t="s">
        <v>958</v>
      </c>
      <c r="B464" s="15" t="s">
        <v>1378</v>
      </c>
      <c r="C464">
        <f>+Bij_sd03</f>
        <v>0</v>
      </c>
    </row>
    <row r="465" spans="1:3" ht="12.75">
      <c r="A465" s="16" t="s">
        <v>959</v>
      </c>
      <c r="B465" s="15" t="s">
        <v>1378</v>
      </c>
      <c r="C465">
        <f>+Bij_sd04</f>
        <v>0</v>
      </c>
    </row>
    <row r="466" spans="1:3" ht="12.75">
      <c r="A466" s="16" t="s">
        <v>960</v>
      </c>
      <c r="B466" s="15" t="s">
        <v>1378</v>
      </c>
      <c r="C466">
        <f>+Bij_sd05</f>
        <v>0</v>
      </c>
    </row>
    <row r="467" spans="1:3" ht="12.75">
      <c r="A467" s="16" t="s">
        <v>961</v>
      </c>
      <c r="B467" s="15" t="s">
        <v>1378</v>
      </c>
      <c r="C467">
        <f>+Bij_sd06</f>
        <v>0</v>
      </c>
    </row>
    <row r="468" spans="1:3" ht="12.75">
      <c r="A468" s="16" t="s">
        <v>962</v>
      </c>
      <c r="B468" s="15" t="s">
        <v>1378</v>
      </c>
      <c r="C468">
        <f>+Bij_sd07</f>
        <v>0</v>
      </c>
    </row>
    <row r="469" spans="1:3" ht="12.75">
      <c r="A469" s="16" t="s">
        <v>963</v>
      </c>
      <c r="B469" s="15" t="s">
        <v>1378</v>
      </c>
      <c r="C469">
        <f>+Bij_sd08</f>
        <v>0</v>
      </c>
    </row>
    <row r="470" spans="1:3" ht="12.75">
      <c r="A470" s="16" t="s">
        <v>964</v>
      </c>
      <c r="B470" s="15" t="s">
        <v>1378</v>
      </c>
      <c r="C470">
        <f>+Bij_sd09</f>
        <v>0</v>
      </c>
    </row>
    <row r="471" spans="1:3" ht="12.75">
      <c r="A471" s="16" t="s">
        <v>965</v>
      </c>
      <c r="B471" s="15" t="s">
        <v>1378</v>
      </c>
      <c r="C471">
        <f>+Bij_sd10</f>
        <v>0</v>
      </c>
    </row>
    <row r="472" spans="1:3" ht="12.75">
      <c r="A472" s="16" t="s">
        <v>966</v>
      </c>
      <c r="B472" s="15" t="s">
        <v>1378</v>
      </c>
      <c r="C472">
        <f>+Bij_sd11</f>
        <v>0</v>
      </c>
    </row>
    <row r="473" spans="1:3" ht="12.75">
      <c r="A473" s="16" t="s">
        <v>967</v>
      </c>
      <c r="B473" s="15" t="s">
        <v>1378</v>
      </c>
      <c r="C473">
        <f>+Bij_sd12</f>
        <v>0</v>
      </c>
    </row>
    <row r="474" spans="1:3" ht="12.75">
      <c r="A474" s="16" t="s">
        <v>968</v>
      </c>
      <c r="B474" s="15" t="s">
        <v>1378</v>
      </c>
      <c r="C474">
        <f>+Bij_sd13</f>
        <v>0</v>
      </c>
    </row>
    <row r="475" spans="1:3" ht="12.75">
      <c r="A475" s="16" t="s">
        <v>1474</v>
      </c>
      <c r="B475" s="15" t="s">
        <v>1378</v>
      </c>
      <c r="C475">
        <f>+Bij_sd14</f>
        <v>0</v>
      </c>
    </row>
    <row r="476" spans="1:3" ht="12.75">
      <c r="A476" s="16" t="s">
        <v>1475</v>
      </c>
      <c r="B476" s="15" t="s">
        <v>1378</v>
      </c>
      <c r="C476">
        <f>+Bij_sd15</f>
        <v>0</v>
      </c>
    </row>
    <row r="477" spans="1:3" ht="12.75">
      <c r="A477" s="16" t="s">
        <v>1476</v>
      </c>
      <c r="B477" s="15" t="s">
        <v>1378</v>
      </c>
      <c r="C477">
        <f>+Bij_sd16</f>
        <v>0</v>
      </c>
    </row>
    <row r="478" spans="1:3" ht="12.75">
      <c r="A478" s="16" t="s">
        <v>1477</v>
      </c>
      <c r="B478" s="15" t="s">
        <v>1378</v>
      </c>
      <c r="C478">
        <f>+Bij_sd17</f>
        <v>0</v>
      </c>
    </row>
    <row r="479" spans="1:3" ht="12.75">
      <c r="A479" s="16" t="s">
        <v>1478</v>
      </c>
      <c r="B479" s="15" t="s">
        <v>1378</v>
      </c>
      <c r="C479">
        <f>+Bij_sd18</f>
        <v>0</v>
      </c>
    </row>
    <row r="480" spans="1:3" ht="12.75">
      <c r="A480" s="16" t="s">
        <v>1479</v>
      </c>
      <c r="B480" s="15" t="s">
        <v>1378</v>
      </c>
      <c r="C480">
        <f>+Bij_sd19</f>
        <v>0</v>
      </c>
    </row>
    <row r="481" spans="1:3" ht="12.75">
      <c r="A481" s="16" t="s">
        <v>1480</v>
      </c>
      <c r="B481" s="15" t="s">
        <v>1378</v>
      </c>
      <c r="C481">
        <f>+Bij_sd20</f>
        <v>0</v>
      </c>
    </row>
    <row r="482" spans="1:3" ht="12.75">
      <c r="A482" s="16" t="s">
        <v>1481</v>
      </c>
      <c r="B482" s="15" t="s">
        <v>1378</v>
      </c>
      <c r="C482">
        <f>+Bij_sd21</f>
        <v>0</v>
      </c>
    </row>
    <row r="483" spans="1:3" ht="12.75">
      <c r="A483" s="16" t="s">
        <v>1482</v>
      </c>
      <c r="B483" s="15" t="s">
        <v>1378</v>
      </c>
      <c r="C483">
        <f>+Bij_sd22</f>
        <v>0</v>
      </c>
    </row>
    <row r="484" spans="1:3" ht="12.75">
      <c r="A484" s="16" t="s">
        <v>1483</v>
      </c>
      <c r="B484" s="15" t="s">
        <v>1378</v>
      </c>
      <c r="C484">
        <f>+Bij_sd23</f>
        <v>0</v>
      </c>
    </row>
    <row r="485" spans="1:3" ht="12.75">
      <c r="A485" s="16" t="s">
        <v>1484</v>
      </c>
      <c r="B485" s="15" t="s">
        <v>1378</v>
      </c>
      <c r="C485">
        <f>+Bij_sd24</f>
        <v>0</v>
      </c>
    </row>
    <row r="486" spans="1:3" ht="12.75">
      <c r="A486" s="16" t="s">
        <v>1485</v>
      </c>
      <c r="B486" s="15" t="s">
        <v>1378</v>
      </c>
      <c r="C486">
        <f>+Bij_sd25</f>
        <v>0</v>
      </c>
    </row>
    <row r="487" spans="1:3" ht="12.75">
      <c r="A487" s="16" t="s">
        <v>1486</v>
      </c>
      <c r="B487" s="15" t="s">
        <v>1378</v>
      </c>
      <c r="C487">
        <f>+Bij_sd26</f>
        <v>0</v>
      </c>
    </row>
    <row r="488" spans="1:3" ht="12.75">
      <c r="A488" s="16" t="s">
        <v>1487</v>
      </c>
      <c r="B488" s="15" t="s">
        <v>1378</v>
      </c>
      <c r="C488">
        <f>+Bij_sd27</f>
        <v>0</v>
      </c>
    </row>
    <row r="489" spans="1:3" ht="12.75">
      <c r="A489" s="16" t="s">
        <v>1488</v>
      </c>
      <c r="B489" s="15" t="s">
        <v>1378</v>
      </c>
      <c r="C489">
        <f>+Bij_sd28</f>
        <v>0</v>
      </c>
    </row>
    <row r="490" spans="1:3" ht="12.75">
      <c r="A490" s="16" t="s">
        <v>1489</v>
      </c>
      <c r="B490" s="15" t="s">
        <v>1378</v>
      </c>
      <c r="C490">
        <f>+Bij_sd29</f>
        <v>0</v>
      </c>
    </row>
    <row r="491" spans="1:3" ht="12.75">
      <c r="A491" s="16" t="s">
        <v>1490</v>
      </c>
      <c r="B491" s="15" t="s">
        <v>1378</v>
      </c>
      <c r="C491">
        <f>+Bij_sd30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1"/>
  <sheetViews>
    <sheetView zoomScalePageLayoutView="0" workbookViewId="0" topLeftCell="A911">
      <selection activeCell="A1" sqref="A1"/>
    </sheetView>
  </sheetViews>
  <sheetFormatPr defaultColWidth="9.140625" defaultRowHeight="12.75"/>
  <cols>
    <col min="1" max="1" width="9.8515625" style="197" customWidth="1"/>
    <col min="2" max="2" width="31.00390625" style="197" bestFit="1" customWidth="1"/>
    <col min="3" max="3" width="34.8515625" style="197" bestFit="1" customWidth="1"/>
    <col min="4" max="4" width="31.00390625" style="197" bestFit="1" customWidth="1"/>
    <col min="5" max="5" width="12.28125" style="197" customWidth="1"/>
    <col min="6" max="6" width="23.28125" style="197" bestFit="1" customWidth="1"/>
    <col min="7" max="7" width="31.00390625" style="197" bestFit="1" customWidth="1"/>
    <col min="8" max="8" width="34.8515625" style="197" bestFit="1" customWidth="1"/>
    <col min="9" max="16384" width="9.140625" style="197" customWidth="1"/>
  </cols>
  <sheetData>
    <row r="1" spans="1:8" s="196" customFormat="1" ht="15">
      <c r="A1" s="196" t="s">
        <v>1491</v>
      </c>
      <c r="B1" s="196" t="s">
        <v>1492</v>
      </c>
      <c r="C1" s="196" t="s">
        <v>1493</v>
      </c>
      <c r="D1" s="196" t="s">
        <v>1492</v>
      </c>
      <c r="G1" s="196" t="s">
        <v>1492</v>
      </c>
      <c r="H1" s="196" t="s">
        <v>1493</v>
      </c>
    </row>
    <row r="2" spans="1:8" ht="15">
      <c r="A2" s="197">
        <v>1</v>
      </c>
      <c r="B2" s="197" t="s">
        <v>655</v>
      </c>
      <c r="C2" s="197" t="s">
        <v>1494</v>
      </c>
      <c r="D2" s="197" t="s">
        <v>655</v>
      </c>
      <c r="G2" s="197" t="s">
        <v>655</v>
      </c>
      <c r="H2" s="197" t="s">
        <v>1527</v>
      </c>
    </row>
    <row r="3" spans="1:8" ht="15">
      <c r="A3" s="197">
        <v>2</v>
      </c>
      <c r="B3" s="197" t="s">
        <v>1495</v>
      </c>
      <c r="C3" s="197" t="s">
        <v>1212</v>
      </c>
      <c r="D3" s="197" t="s">
        <v>1495</v>
      </c>
      <c r="G3" s="197" t="s">
        <v>1495</v>
      </c>
      <c r="H3" s="197" t="s">
        <v>6</v>
      </c>
    </row>
    <row r="4" spans="1:8" ht="15">
      <c r="A4" s="197">
        <v>698</v>
      </c>
      <c r="B4" s="197" t="s">
        <v>1496</v>
      </c>
      <c r="C4" s="197" t="s">
        <v>1497</v>
      </c>
      <c r="D4" s="197" t="s">
        <v>1496</v>
      </c>
      <c r="G4" s="197" t="s">
        <v>1496</v>
      </c>
      <c r="H4" s="197" t="s">
        <v>49</v>
      </c>
    </row>
    <row r="5" spans="1:8" ht="15">
      <c r="A5" s="197">
        <v>699</v>
      </c>
      <c r="B5" s="197" t="s">
        <v>1498</v>
      </c>
      <c r="C5" s="197" t="s">
        <v>1499</v>
      </c>
      <c r="D5" s="197" t="s">
        <v>1498</v>
      </c>
      <c r="G5" s="197" t="s">
        <v>1498</v>
      </c>
      <c r="H5" s="197" t="s">
        <v>2043</v>
      </c>
    </row>
    <row r="6" spans="1:8" ht="15">
      <c r="A6" s="197">
        <v>649</v>
      </c>
      <c r="B6" s="197" t="s">
        <v>1500</v>
      </c>
      <c r="C6" s="197" t="s">
        <v>1501</v>
      </c>
      <c r="D6" s="197" t="s">
        <v>1500</v>
      </c>
      <c r="G6" s="197" t="s">
        <v>1500</v>
      </c>
      <c r="H6" s="197" t="s">
        <v>2532</v>
      </c>
    </row>
    <row r="7" spans="1:8" ht="15">
      <c r="A7" s="197">
        <v>700</v>
      </c>
      <c r="B7" s="197" t="s">
        <v>1502</v>
      </c>
      <c r="C7" s="197" t="s">
        <v>1503</v>
      </c>
      <c r="D7" s="197" t="s">
        <v>1502</v>
      </c>
      <c r="G7" s="197" t="s">
        <v>1502</v>
      </c>
      <c r="H7" s="197" t="s">
        <v>1255</v>
      </c>
    </row>
    <row r="8" spans="1:8" ht="15">
      <c r="A8" s="197">
        <v>3</v>
      </c>
      <c r="B8" s="197" t="s">
        <v>1504</v>
      </c>
      <c r="C8" s="197" t="s">
        <v>1505</v>
      </c>
      <c r="D8" s="197" t="s">
        <v>1504</v>
      </c>
      <c r="G8" s="197" t="s">
        <v>1504</v>
      </c>
      <c r="H8" s="197" t="s">
        <v>2081</v>
      </c>
    </row>
    <row r="9" spans="1:8" ht="15">
      <c r="A9" s="197">
        <v>650</v>
      </c>
      <c r="B9" s="197" t="s">
        <v>1506</v>
      </c>
      <c r="C9" s="197" t="s">
        <v>1507</v>
      </c>
      <c r="D9" s="197" t="s">
        <v>1506</v>
      </c>
      <c r="G9" s="197" t="s">
        <v>1506</v>
      </c>
      <c r="H9" s="197" t="s">
        <v>2401</v>
      </c>
    </row>
    <row r="10" spans="1:8" ht="15">
      <c r="A10" s="197">
        <v>5</v>
      </c>
      <c r="B10" s="197" t="s">
        <v>1508</v>
      </c>
      <c r="C10" s="197" t="s">
        <v>1509</v>
      </c>
      <c r="D10" s="197" t="s">
        <v>1508</v>
      </c>
      <c r="G10" s="197" t="s">
        <v>1508</v>
      </c>
      <c r="H10" s="197" t="s">
        <v>1570</v>
      </c>
    </row>
    <row r="11" spans="1:8" ht="15">
      <c r="A11" s="197">
        <v>4</v>
      </c>
      <c r="B11" s="197" t="s">
        <v>1510</v>
      </c>
      <c r="C11" s="197" t="s">
        <v>1511</v>
      </c>
      <c r="D11" s="197" t="s">
        <v>1510</v>
      </c>
      <c r="G11" s="197" t="s">
        <v>1510</v>
      </c>
      <c r="H11" s="197" t="s">
        <v>1222</v>
      </c>
    </row>
    <row r="12" spans="1:8" ht="15">
      <c r="A12" s="197">
        <v>1156</v>
      </c>
      <c r="B12" s="197" t="s">
        <v>1512</v>
      </c>
      <c r="D12" s="197" t="s">
        <v>1512</v>
      </c>
      <c r="G12" s="197" t="s">
        <v>1512</v>
      </c>
      <c r="H12" s="197" t="s">
        <v>268</v>
      </c>
    </row>
    <row r="13" spans="1:8" ht="15">
      <c r="A13" s="197">
        <v>567</v>
      </c>
      <c r="B13" s="197" t="s">
        <v>1513</v>
      </c>
      <c r="C13" s="197" t="s">
        <v>1514</v>
      </c>
      <c r="D13" s="197" t="s">
        <v>1513</v>
      </c>
      <c r="G13" s="197" t="s">
        <v>1513</v>
      </c>
      <c r="H13" s="197" t="s">
        <v>547</v>
      </c>
    </row>
    <row r="14" spans="1:8" ht="15">
      <c r="A14" s="197">
        <v>6</v>
      </c>
      <c r="B14" s="197" t="s">
        <v>1515</v>
      </c>
      <c r="D14" s="197" t="s">
        <v>1515</v>
      </c>
      <c r="G14" s="197" t="s">
        <v>1515</v>
      </c>
      <c r="H14" s="197" t="s">
        <v>636</v>
      </c>
    </row>
    <row r="15" spans="1:8" ht="15">
      <c r="A15" s="197">
        <v>1158</v>
      </c>
      <c r="B15" s="197" t="s">
        <v>1516</v>
      </c>
      <c r="D15" s="197" t="s">
        <v>1516</v>
      </c>
      <c r="G15" s="197" t="s">
        <v>1516</v>
      </c>
      <c r="H15" s="197" t="s">
        <v>500</v>
      </c>
    </row>
    <row r="16" spans="1:8" ht="15">
      <c r="A16" s="197">
        <v>701</v>
      </c>
      <c r="B16" s="197" t="s">
        <v>1517</v>
      </c>
      <c r="C16" s="197" t="s">
        <v>1518</v>
      </c>
      <c r="D16" s="197" t="s">
        <v>1517</v>
      </c>
      <c r="G16" s="197" t="s">
        <v>1517</v>
      </c>
      <c r="H16" s="197" t="s">
        <v>2466</v>
      </c>
    </row>
    <row r="17" spans="1:8" ht="15">
      <c r="A17" s="197">
        <v>1142</v>
      </c>
      <c r="B17" s="197" t="s">
        <v>1519</v>
      </c>
      <c r="D17" s="197" t="s">
        <v>1519</v>
      </c>
      <c r="G17" s="197" t="s">
        <v>1519</v>
      </c>
      <c r="H17" s="197" t="s">
        <v>1215</v>
      </c>
    </row>
    <row r="18" spans="1:8" ht="15">
      <c r="A18" s="197">
        <v>1161</v>
      </c>
      <c r="B18" s="197" t="s">
        <v>1520</v>
      </c>
      <c r="C18" s="197" t="s">
        <v>1521</v>
      </c>
      <c r="D18" s="197" t="s">
        <v>1520</v>
      </c>
      <c r="G18" s="197" t="s">
        <v>1520</v>
      </c>
      <c r="H18" s="197" t="s">
        <v>2035</v>
      </c>
    </row>
    <row r="19" spans="1:8" ht="15">
      <c r="A19" s="197">
        <v>9</v>
      </c>
      <c r="B19" s="197" t="s">
        <v>1522</v>
      </c>
      <c r="C19" s="197" t="s">
        <v>1523</v>
      </c>
      <c r="D19" s="197" t="s">
        <v>1522</v>
      </c>
      <c r="G19" s="197" t="s">
        <v>1522</v>
      </c>
      <c r="H19" s="197" t="s">
        <v>1977</v>
      </c>
    </row>
    <row r="20" spans="1:8" ht="15">
      <c r="A20" s="197">
        <v>7</v>
      </c>
      <c r="B20" s="197" t="s">
        <v>1524</v>
      </c>
      <c r="C20" s="197" t="s">
        <v>1525</v>
      </c>
      <c r="D20" s="197" t="s">
        <v>1524</v>
      </c>
      <c r="G20" s="197" t="s">
        <v>1524</v>
      </c>
      <c r="H20" s="197" t="s">
        <v>2348</v>
      </c>
    </row>
    <row r="21" spans="1:8" ht="15">
      <c r="A21" s="197">
        <v>702</v>
      </c>
      <c r="B21" s="197" t="s">
        <v>1526</v>
      </c>
      <c r="C21" s="197" t="s">
        <v>1527</v>
      </c>
      <c r="D21" s="197" t="s">
        <v>1526</v>
      </c>
      <c r="G21" s="197" t="s">
        <v>1526</v>
      </c>
      <c r="H21" s="197" t="s">
        <v>2140</v>
      </c>
    </row>
    <row r="22" spans="1:8" ht="15">
      <c r="A22" s="197">
        <v>645</v>
      </c>
      <c r="B22" s="197" t="s">
        <v>1528</v>
      </c>
      <c r="C22" s="197" t="s">
        <v>1529</v>
      </c>
      <c r="D22" s="197" t="s">
        <v>1528</v>
      </c>
      <c r="G22" s="197" t="s">
        <v>1528</v>
      </c>
      <c r="H22" s="197" t="s">
        <v>2488</v>
      </c>
    </row>
    <row r="23" spans="1:8" ht="15">
      <c r="A23" s="197">
        <v>703</v>
      </c>
      <c r="B23" s="197" t="s">
        <v>1530</v>
      </c>
      <c r="D23" s="197" t="s">
        <v>1530</v>
      </c>
      <c r="G23" s="197" t="s">
        <v>1530</v>
      </c>
      <c r="H23" s="197" t="s">
        <v>422</v>
      </c>
    </row>
    <row r="24" spans="1:8" ht="15">
      <c r="A24" s="197">
        <v>704</v>
      </c>
      <c r="B24" s="197" t="s">
        <v>1531</v>
      </c>
      <c r="D24" s="197" t="s">
        <v>1531</v>
      </c>
      <c r="G24" s="197" t="s">
        <v>1531</v>
      </c>
      <c r="H24" s="197" t="s">
        <v>488</v>
      </c>
    </row>
    <row r="25" spans="1:8" ht="15">
      <c r="A25" s="197">
        <v>8</v>
      </c>
      <c r="B25" s="197" t="s">
        <v>1532</v>
      </c>
      <c r="C25" s="197" t="s">
        <v>1533</v>
      </c>
      <c r="D25" s="197" t="s">
        <v>1532</v>
      </c>
      <c r="G25" s="197" t="s">
        <v>1532</v>
      </c>
      <c r="H25" s="197" t="s">
        <v>348</v>
      </c>
    </row>
    <row r="26" spans="1:8" ht="15">
      <c r="A26" s="197">
        <v>11</v>
      </c>
      <c r="B26" s="197" t="s">
        <v>1534</v>
      </c>
      <c r="C26" s="197" t="s">
        <v>1535</v>
      </c>
      <c r="D26" s="197" t="s">
        <v>1534</v>
      </c>
      <c r="G26" s="197" t="s">
        <v>1534</v>
      </c>
      <c r="H26" s="197" t="s">
        <v>13</v>
      </c>
    </row>
    <row r="27" spans="1:8" ht="15">
      <c r="A27" s="197">
        <v>1163</v>
      </c>
      <c r="B27" s="197" t="s">
        <v>1536</v>
      </c>
      <c r="C27" s="197" t="s">
        <v>1537</v>
      </c>
      <c r="D27" s="197" t="s">
        <v>1536</v>
      </c>
      <c r="G27" s="197" t="s">
        <v>1536</v>
      </c>
      <c r="H27" s="197" t="s">
        <v>774</v>
      </c>
    </row>
    <row r="28" spans="1:8" ht="15">
      <c r="A28" s="197">
        <v>10</v>
      </c>
      <c r="B28" s="197" t="s">
        <v>1538</v>
      </c>
      <c r="C28" s="197" t="s">
        <v>1539</v>
      </c>
      <c r="D28" s="197" t="s">
        <v>1538</v>
      </c>
      <c r="G28" s="197" t="s">
        <v>1538</v>
      </c>
      <c r="H28" s="197" t="s">
        <v>2212</v>
      </c>
    </row>
    <row r="29" spans="1:8" ht="15">
      <c r="A29" s="197">
        <v>12</v>
      </c>
      <c r="B29" s="197" t="s">
        <v>1540</v>
      </c>
      <c r="D29" s="197" t="s">
        <v>1540</v>
      </c>
      <c r="G29" s="197" t="s">
        <v>1540</v>
      </c>
      <c r="H29" s="197" t="s">
        <v>654</v>
      </c>
    </row>
    <row r="30" spans="1:8" ht="15">
      <c r="A30" s="197">
        <v>705</v>
      </c>
      <c r="B30" s="197" t="s">
        <v>1541</v>
      </c>
      <c r="D30" s="197" t="s">
        <v>1541</v>
      </c>
      <c r="G30" s="197" t="s">
        <v>1541</v>
      </c>
      <c r="H30" s="197" t="s">
        <v>630</v>
      </c>
    </row>
    <row r="31" spans="1:8" ht="15">
      <c r="A31" s="197">
        <v>14</v>
      </c>
      <c r="B31" s="197" t="s">
        <v>1542</v>
      </c>
      <c r="C31" s="197" t="s">
        <v>1543</v>
      </c>
      <c r="D31" s="197" t="s">
        <v>1542</v>
      </c>
      <c r="G31" s="197" t="s">
        <v>1542</v>
      </c>
      <c r="H31" s="197" t="s">
        <v>2479</v>
      </c>
    </row>
    <row r="32" spans="1:8" ht="15">
      <c r="A32" s="197">
        <v>706</v>
      </c>
      <c r="B32" s="197" t="s">
        <v>1544</v>
      </c>
      <c r="D32" s="197" t="s">
        <v>1544</v>
      </c>
      <c r="G32" s="197" t="s">
        <v>1544</v>
      </c>
      <c r="H32" s="197" t="s">
        <v>1617</v>
      </c>
    </row>
    <row r="33" spans="1:8" ht="15">
      <c r="A33" s="197">
        <v>707</v>
      </c>
      <c r="B33" s="197" t="s">
        <v>1545</v>
      </c>
      <c r="C33" s="197" t="s">
        <v>1546</v>
      </c>
      <c r="D33" s="197" t="s">
        <v>1545</v>
      </c>
      <c r="G33" s="197" t="s">
        <v>1545</v>
      </c>
      <c r="H33" s="197" t="s">
        <v>1746</v>
      </c>
    </row>
    <row r="34" spans="1:8" ht="15">
      <c r="A34" s="197">
        <v>15</v>
      </c>
      <c r="B34" s="197" t="s">
        <v>1547</v>
      </c>
      <c r="C34" s="197" t="s">
        <v>1548</v>
      </c>
      <c r="D34" s="197" t="s">
        <v>1547</v>
      </c>
      <c r="G34" s="197" t="s">
        <v>1547</v>
      </c>
      <c r="H34" s="197" t="s">
        <v>2121</v>
      </c>
    </row>
    <row r="35" spans="1:8" ht="15">
      <c r="A35" s="197">
        <v>1169</v>
      </c>
      <c r="B35" s="197" t="s">
        <v>1549</v>
      </c>
      <c r="C35" s="197" t="s">
        <v>1550</v>
      </c>
      <c r="D35" s="197" t="s">
        <v>1549</v>
      </c>
      <c r="G35" s="197" t="s">
        <v>1549</v>
      </c>
      <c r="H35" s="197" t="s">
        <v>120</v>
      </c>
    </row>
    <row r="36" spans="1:8" ht="15">
      <c r="A36" s="197">
        <v>16</v>
      </c>
      <c r="B36" s="197" t="s">
        <v>1551</v>
      </c>
      <c r="C36" s="197" t="s">
        <v>1552</v>
      </c>
      <c r="D36" s="197" t="s">
        <v>1551</v>
      </c>
      <c r="G36" s="197" t="s">
        <v>1551</v>
      </c>
      <c r="H36" s="197" t="s">
        <v>396</v>
      </c>
    </row>
    <row r="37" spans="1:8" ht="15">
      <c r="A37" s="197">
        <v>1172</v>
      </c>
      <c r="B37" s="197" t="s">
        <v>1553</v>
      </c>
      <c r="D37" s="197" t="s">
        <v>1553</v>
      </c>
      <c r="G37" s="197" t="s">
        <v>1553</v>
      </c>
      <c r="H37" s="197" t="s">
        <v>2210</v>
      </c>
    </row>
    <row r="38" spans="1:8" ht="15">
      <c r="A38" s="197">
        <v>1173</v>
      </c>
      <c r="B38" s="197" t="s">
        <v>1554</v>
      </c>
      <c r="D38" s="197" t="s">
        <v>1554</v>
      </c>
      <c r="G38" s="197" t="s">
        <v>1554</v>
      </c>
      <c r="H38" s="197" t="s">
        <v>2388</v>
      </c>
    </row>
    <row r="39" spans="1:8" ht="15">
      <c r="A39" s="197">
        <v>637</v>
      </c>
      <c r="B39" s="197" t="s">
        <v>1555</v>
      </c>
      <c r="C39" s="197" t="s">
        <v>1556</v>
      </c>
      <c r="D39" s="197" t="s">
        <v>1555</v>
      </c>
      <c r="G39" s="197" t="s">
        <v>1555</v>
      </c>
      <c r="H39" s="197" t="s">
        <v>2296</v>
      </c>
    </row>
    <row r="40" spans="1:8" ht="15">
      <c r="A40" s="197">
        <v>708</v>
      </c>
      <c r="B40" s="197" t="s">
        <v>1557</v>
      </c>
      <c r="C40" s="197" t="s">
        <v>1201</v>
      </c>
      <c r="D40" s="197" t="s">
        <v>1557</v>
      </c>
      <c r="G40" s="197" t="s">
        <v>1557</v>
      </c>
      <c r="H40" s="197" t="s">
        <v>469</v>
      </c>
    </row>
    <row r="41" spans="1:8" ht="15">
      <c r="A41" s="197">
        <v>709</v>
      </c>
      <c r="B41" s="197" t="s">
        <v>1558</v>
      </c>
      <c r="C41" s="197" t="s">
        <v>1209</v>
      </c>
      <c r="D41" s="197" t="s">
        <v>1558</v>
      </c>
      <c r="G41" s="197" t="s">
        <v>1558</v>
      </c>
      <c r="H41" s="197" t="s">
        <v>2063</v>
      </c>
    </row>
    <row r="42" spans="1:8" ht="15">
      <c r="A42" s="197">
        <v>18</v>
      </c>
      <c r="B42" s="197" t="s">
        <v>1559</v>
      </c>
      <c r="C42" s="197" t="s">
        <v>1560</v>
      </c>
      <c r="D42" s="197" t="s">
        <v>1559</v>
      </c>
      <c r="G42" s="197" t="s">
        <v>1559</v>
      </c>
      <c r="H42" s="197" t="s">
        <v>2269</v>
      </c>
    </row>
    <row r="43" spans="1:8" ht="15">
      <c r="A43" s="197">
        <v>710</v>
      </c>
      <c r="B43" s="197" t="s">
        <v>1561</v>
      </c>
      <c r="D43" s="197" t="s">
        <v>1561</v>
      </c>
      <c r="G43" s="197" t="s">
        <v>1561</v>
      </c>
      <c r="H43" s="197" t="s">
        <v>2162</v>
      </c>
    </row>
    <row r="44" spans="1:8" ht="15">
      <c r="A44" s="197">
        <v>19</v>
      </c>
      <c r="B44" s="197" t="s">
        <v>1562</v>
      </c>
      <c r="D44" s="197" t="s">
        <v>1562</v>
      </c>
      <c r="G44" s="197" t="s">
        <v>1562</v>
      </c>
      <c r="H44" s="197" t="s">
        <v>2219</v>
      </c>
    </row>
    <row r="45" spans="1:8" ht="15">
      <c r="A45" s="197">
        <v>711</v>
      </c>
      <c r="B45" s="197" t="s">
        <v>1563</v>
      </c>
      <c r="D45" s="197" t="s">
        <v>1563</v>
      </c>
      <c r="G45" s="197" t="s">
        <v>1563</v>
      </c>
      <c r="H45" s="197" t="s">
        <v>1237</v>
      </c>
    </row>
    <row r="46" spans="1:8" ht="15">
      <c r="A46" s="197">
        <v>17</v>
      </c>
      <c r="B46" s="197" t="s">
        <v>1564</v>
      </c>
      <c r="C46" s="197" t="s">
        <v>1565</v>
      </c>
      <c r="D46" s="197" t="s">
        <v>1564</v>
      </c>
      <c r="G46" s="197" t="s">
        <v>1564</v>
      </c>
      <c r="H46" s="197" t="s">
        <v>2422</v>
      </c>
    </row>
    <row r="47" spans="1:8" ht="15">
      <c r="A47" s="197">
        <v>20</v>
      </c>
      <c r="B47" s="197" t="s">
        <v>1566</v>
      </c>
      <c r="C47" s="197" t="s">
        <v>1567</v>
      </c>
      <c r="D47" s="197" t="s">
        <v>1566</v>
      </c>
      <c r="G47" s="197" t="s">
        <v>1566</v>
      </c>
      <c r="H47" s="197" t="s">
        <v>1705</v>
      </c>
    </row>
    <row r="48" spans="1:8" ht="15">
      <c r="A48" s="197">
        <v>21</v>
      </c>
      <c r="B48" s="197" t="s">
        <v>1568</v>
      </c>
      <c r="D48" s="197" t="s">
        <v>1568</v>
      </c>
      <c r="G48" s="197" t="s">
        <v>1568</v>
      </c>
      <c r="H48" s="197" t="s">
        <v>461</v>
      </c>
    </row>
    <row r="49" spans="1:8" ht="15">
      <c r="A49" s="197">
        <v>1174</v>
      </c>
      <c r="B49" s="197" t="s">
        <v>1569</v>
      </c>
      <c r="C49" s="197" t="s">
        <v>1570</v>
      </c>
      <c r="D49" s="197" t="s">
        <v>1569</v>
      </c>
      <c r="G49" s="197" t="s">
        <v>1569</v>
      </c>
      <c r="H49" s="197" t="s">
        <v>2485</v>
      </c>
    </row>
    <row r="50" spans="1:8" ht="15">
      <c r="A50" s="197">
        <v>1123</v>
      </c>
      <c r="B50" s="197" t="s">
        <v>1571</v>
      </c>
      <c r="C50" s="197" t="s">
        <v>1572</v>
      </c>
      <c r="D50" s="197" t="s">
        <v>1571</v>
      </c>
      <c r="G50" s="197" t="s">
        <v>1571</v>
      </c>
      <c r="H50" s="197" t="s">
        <v>2075</v>
      </c>
    </row>
    <row r="51" spans="1:8" ht="15">
      <c r="A51" s="197">
        <v>712</v>
      </c>
      <c r="B51" s="197" t="s">
        <v>1573</v>
      </c>
      <c r="C51" s="197" t="s">
        <v>1574</v>
      </c>
      <c r="D51" s="197" t="s">
        <v>1573</v>
      </c>
      <c r="G51" s="197" t="s">
        <v>1573</v>
      </c>
      <c r="H51" s="197" t="s">
        <v>1945</v>
      </c>
    </row>
    <row r="52" spans="1:8" ht="15">
      <c r="A52" s="197">
        <v>713</v>
      </c>
      <c r="B52" s="197" t="s">
        <v>1575</v>
      </c>
      <c r="C52" s="197" t="s">
        <v>1576</v>
      </c>
      <c r="D52" s="197" t="s">
        <v>1575</v>
      </c>
      <c r="G52" s="197" t="s">
        <v>1575</v>
      </c>
      <c r="H52" s="197" t="s">
        <v>1848</v>
      </c>
    </row>
    <row r="53" spans="1:8" ht="15">
      <c r="A53" s="197">
        <v>714</v>
      </c>
      <c r="B53" s="197" t="s">
        <v>1577</v>
      </c>
      <c r="C53" s="197" t="s">
        <v>1578</v>
      </c>
      <c r="D53" s="197" t="s">
        <v>1577</v>
      </c>
      <c r="G53" s="197" t="s">
        <v>1577</v>
      </c>
      <c r="H53" s="197" t="s">
        <v>315</v>
      </c>
    </row>
    <row r="54" spans="1:8" ht="15">
      <c r="A54" s="197">
        <v>683</v>
      </c>
      <c r="B54" s="197" t="s">
        <v>1579</v>
      </c>
      <c r="C54" s="197" t="s">
        <v>1580</v>
      </c>
      <c r="D54" s="197" t="s">
        <v>1579</v>
      </c>
      <c r="G54" s="197" t="s">
        <v>1579</v>
      </c>
      <c r="H54" s="197" t="s">
        <v>1802</v>
      </c>
    </row>
    <row r="55" spans="1:8" ht="15">
      <c r="A55" s="197">
        <v>1056</v>
      </c>
      <c r="B55" s="197" t="s">
        <v>1581</v>
      </c>
      <c r="D55" s="197" t="s">
        <v>1581</v>
      </c>
      <c r="G55" s="197" t="s">
        <v>1581</v>
      </c>
      <c r="H55" s="197" t="s">
        <v>180</v>
      </c>
    </row>
    <row r="56" spans="1:8" ht="15">
      <c r="A56" s="197">
        <v>715</v>
      </c>
      <c r="B56" s="197" t="s">
        <v>1582</v>
      </c>
      <c r="C56" s="197" t="s">
        <v>1583</v>
      </c>
      <c r="D56" s="197" t="s">
        <v>1582</v>
      </c>
      <c r="G56" s="197" t="s">
        <v>1582</v>
      </c>
      <c r="H56" s="197" t="s">
        <v>153</v>
      </c>
    </row>
    <row r="57" spans="1:8" ht="15">
      <c r="A57" s="197">
        <v>716</v>
      </c>
      <c r="B57" s="197" t="s">
        <v>1584</v>
      </c>
      <c r="C57" s="197" t="s">
        <v>1585</v>
      </c>
      <c r="D57" s="197" t="s">
        <v>1584</v>
      </c>
      <c r="G57" s="197" t="s">
        <v>1584</v>
      </c>
      <c r="H57" s="197" t="s">
        <v>1721</v>
      </c>
    </row>
    <row r="58" spans="1:8" ht="15">
      <c r="A58" s="197">
        <v>1175</v>
      </c>
      <c r="B58" s="197" t="s">
        <v>803</v>
      </c>
      <c r="C58" s="197" t="s">
        <v>804</v>
      </c>
      <c r="D58" s="197" t="s">
        <v>803</v>
      </c>
      <c r="G58" s="197" t="s">
        <v>803</v>
      </c>
      <c r="H58" s="197" t="s">
        <v>218</v>
      </c>
    </row>
    <row r="59" spans="1:8" ht="15">
      <c r="A59" s="197">
        <v>23</v>
      </c>
      <c r="B59" s="197" t="s">
        <v>1586</v>
      </c>
      <c r="C59" s="197" t="s">
        <v>1587</v>
      </c>
      <c r="D59" s="197" t="s">
        <v>1586</v>
      </c>
      <c r="G59" s="197" t="s">
        <v>1586</v>
      </c>
      <c r="H59" s="197" t="s">
        <v>0</v>
      </c>
    </row>
    <row r="60" spans="1:8" ht="15">
      <c r="A60" s="197">
        <v>717</v>
      </c>
      <c r="B60" s="197" t="s">
        <v>1588</v>
      </c>
      <c r="C60" s="197" t="s">
        <v>1589</v>
      </c>
      <c r="D60" s="197" t="s">
        <v>1588</v>
      </c>
      <c r="G60" s="197" t="s">
        <v>1588</v>
      </c>
      <c r="H60" s="197" t="s">
        <v>447</v>
      </c>
    </row>
    <row r="61" spans="1:8" ht="15">
      <c r="A61" s="197">
        <v>689</v>
      </c>
      <c r="B61" s="197" t="s">
        <v>1590</v>
      </c>
      <c r="C61" s="197" t="s">
        <v>1591</v>
      </c>
      <c r="D61" s="197" t="s">
        <v>1590</v>
      </c>
      <c r="G61" s="197" t="s">
        <v>1590</v>
      </c>
      <c r="H61" s="197" t="s">
        <v>1793</v>
      </c>
    </row>
    <row r="62" spans="1:8" ht="15">
      <c r="A62" s="197">
        <v>1178</v>
      </c>
      <c r="B62" s="197" t="s">
        <v>1592</v>
      </c>
      <c r="C62" s="197" t="s">
        <v>1593</v>
      </c>
      <c r="D62" s="197" t="s">
        <v>1592</v>
      </c>
      <c r="G62" s="197" t="s">
        <v>1592</v>
      </c>
      <c r="H62" s="197" t="s">
        <v>2543</v>
      </c>
    </row>
    <row r="63" spans="1:8" ht="15">
      <c r="A63" s="197">
        <v>63</v>
      </c>
      <c r="B63" s="197" t="s">
        <v>1594</v>
      </c>
      <c r="D63" s="197" t="s">
        <v>1594</v>
      </c>
      <c r="G63" s="197" t="s">
        <v>1594</v>
      </c>
      <c r="H63" s="197" t="s">
        <v>1877</v>
      </c>
    </row>
    <row r="64" spans="1:8" ht="15">
      <c r="A64" s="197">
        <v>66</v>
      </c>
      <c r="B64" s="197" t="s">
        <v>1262</v>
      </c>
      <c r="C64" s="197" t="s">
        <v>1256</v>
      </c>
      <c r="D64" s="197" t="s">
        <v>1262</v>
      </c>
      <c r="G64" s="197" t="s">
        <v>1262</v>
      </c>
      <c r="H64" s="197" t="s">
        <v>96</v>
      </c>
    </row>
    <row r="65" spans="1:8" ht="15">
      <c r="A65" s="197">
        <v>26</v>
      </c>
      <c r="B65" s="197" t="s">
        <v>1595</v>
      </c>
      <c r="C65" s="197" t="s">
        <v>1596</v>
      </c>
      <c r="D65" s="197" t="s">
        <v>1595</v>
      </c>
      <c r="G65" s="197" t="s">
        <v>1595</v>
      </c>
      <c r="H65" s="197" t="s">
        <v>1256</v>
      </c>
    </row>
    <row r="66" spans="1:8" ht="15">
      <c r="A66" s="197">
        <v>718</v>
      </c>
      <c r="B66" s="197" t="s">
        <v>1597</v>
      </c>
      <c r="C66" s="197" t="s">
        <v>1598</v>
      </c>
      <c r="D66" s="197" t="s">
        <v>1597</v>
      </c>
      <c r="G66" s="197" t="s">
        <v>1597</v>
      </c>
      <c r="H66" s="197" t="s">
        <v>4</v>
      </c>
    </row>
    <row r="67" spans="1:8" ht="15">
      <c r="A67" s="197">
        <v>1179</v>
      </c>
      <c r="B67" s="197" t="s">
        <v>1599</v>
      </c>
      <c r="D67" s="197" t="s">
        <v>1599</v>
      </c>
      <c r="G67" s="197" t="s">
        <v>1599</v>
      </c>
      <c r="H67" s="197" t="s">
        <v>1218</v>
      </c>
    </row>
    <row r="68" spans="1:8" ht="15">
      <c r="A68" s="197">
        <v>692</v>
      </c>
      <c r="B68" s="197" t="s">
        <v>1600</v>
      </c>
      <c r="C68" s="197" t="s">
        <v>1601</v>
      </c>
      <c r="D68" s="197" t="s">
        <v>1600</v>
      </c>
      <c r="G68" s="197" t="s">
        <v>1600</v>
      </c>
      <c r="H68" s="197" t="s">
        <v>2090</v>
      </c>
    </row>
    <row r="69" spans="1:8" ht="15">
      <c r="A69" s="197">
        <v>28</v>
      </c>
      <c r="B69" s="197" t="s">
        <v>1602</v>
      </c>
      <c r="C69" s="197" t="s">
        <v>1603</v>
      </c>
      <c r="D69" s="197" t="s">
        <v>1602</v>
      </c>
      <c r="G69" s="197" t="s">
        <v>1602</v>
      </c>
      <c r="H69" s="197" t="s">
        <v>568</v>
      </c>
    </row>
    <row r="70" spans="1:8" ht="15">
      <c r="A70" s="197">
        <v>29</v>
      </c>
      <c r="B70" s="197" t="s">
        <v>1604</v>
      </c>
      <c r="C70" s="197" t="s">
        <v>1605</v>
      </c>
      <c r="D70" s="197" t="s">
        <v>1604</v>
      </c>
      <c r="G70" s="197" t="s">
        <v>1604</v>
      </c>
      <c r="H70" s="197" t="s">
        <v>538</v>
      </c>
    </row>
    <row r="71" spans="1:8" ht="15">
      <c r="A71" s="197">
        <v>30</v>
      </c>
      <c r="B71" s="197" t="s">
        <v>1606</v>
      </c>
      <c r="C71" s="197" t="s">
        <v>1607</v>
      </c>
      <c r="D71" s="197" t="s">
        <v>1606</v>
      </c>
      <c r="G71" s="197" t="s">
        <v>1606</v>
      </c>
      <c r="H71" s="197" t="s">
        <v>1688</v>
      </c>
    </row>
    <row r="72" spans="1:8" ht="15">
      <c r="A72" s="197">
        <v>32</v>
      </c>
      <c r="B72" s="197" t="s">
        <v>1608</v>
      </c>
      <c r="C72" s="197" t="s">
        <v>1609</v>
      </c>
      <c r="D72" s="197" t="s">
        <v>1608</v>
      </c>
      <c r="G72" s="197" t="s">
        <v>1608</v>
      </c>
      <c r="H72" s="197" t="s">
        <v>2106</v>
      </c>
    </row>
    <row r="73" spans="1:8" ht="15">
      <c r="A73" s="197">
        <v>34</v>
      </c>
      <c r="B73" s="197" t="s">
        <v>1610</v>
      </c>
      <c r="C73" s="197" t="s">
        <v>1611</v>
      </c>
      <c r="D73" s="197" t="s">
        <v>1610</v>
      </c>
      <c r="G73" s="197" t="s">
        <v>1610</v>
      </c>
      <c r="H73" s="197" t="s">
        <v>1659</v>
      </c>
    </row>
    <row r="74" spans="1:8" ht="15">
      <c r="A74" s="197">
        <v>35</v>
      </c>
      <c r="B74" s="197" t="s">
        <v>1612</v>
      </c>
      <c r="D74" s="197" t="s">
        <v>1612</v>
      </c>
      <c r="G74" s="197" t="s">
        <v>1612</v>
      </c>
      <c r="H74" s="197" t="s">
        <v>1843</v>
      </c>
    </row>
    <row r="75" spans="1:8" ht="15">
      <c r="A75" s="197">
        <v>997</v>
      </c>
      <c r="B75" s="197" t="s">
        <v>1613</v>
      </c>
      <c r="C75" s="197" t="s">
        <v>1614</v>
      </c>
      <c r="D75" s="197" t="s">
        <v>1613</v>
      </c>
      <c r="G75" s="197" t="s">
        <v>1613</v>
      </c>
      <c r="H75" s="197" t="s">
        <v>194</v>
      </c>
    </row>
    <row r="76" spans="1:8" ht="15">
      <c r="A76" s="197">
        <v>37</v>
      </c>
      <c r="B76" s="197" t="s">
        <v>1615</v>
      </c>
      <c r="D76" s="197" t="s">
        <v>1615</v>
      </c>
      <c r="G76" s="197" t="s">
        <v>1615</v>
      </c>
      <c r="H76" s="197" t="s">
        <v>781</v>
      </c>
    </row>
    <row r="77" spans="1:8" ht="15">
      <c r="A77" s="197">
        <v>593</v>
      </c>
      <c r="B77" s="197" t="s">
        <v>1616</v>
      </c>
      <c r="C77" s="197" t="s">
        <v>1617</v>
      </c>
      <c r="D77" s="197" t="s">
        <v>1616</v>
      </c>
      <c r="G77" s="197" t="s">
        <v>1616</v>
      </c>
      <c r="H77" s="197" t="s">
        <v>796</v>
      </c>
    </row>
    <row r="78" spans="1:8" ht="15">
      <c r="A78" s="197">
        <v>38</v>
      </c>
      <c r="B78" s="197" t="s">
        <v>1618</v>
      </c>
      <c r="D78" s="197" t="s">
        <v>1618</v>
      </c>
      <c r="G78" s="197" t="s">
        <v>1618</v>
      </c>
      <c r="H78" s="197" t="s">
        <v>266</v>
      </c>
    </row>
    <row r="79" spans="1:8" ht="15">
      <c r="A79" s="197">
        <v>40</v>
      </c>
      <c r="B79" s="197" t="s">
        <v>1619</v>
      </c>
      <c r="C79" s="197" t="s">
        <v>1620</v>
      </c>
      <c r="D79" s="197" t="s">
        <v>1619</v>
      </c>
      <c r="G79" s="197" t="s">
        <v>1619</v>
      </c>
      <c r="H79" s="197" t="s">
        <v>2223</v>
      </c>
    </row>
    <row r="80" spans="1:8" ht="15">
      <c r="A80" s="197">
        <v>39</v>
      </c>
      <c r="B80" s="197" t="s">
        <v>1305</v>
      </c>
      <c r="C80" s="197" t="s">
        <v>1304</v>
      </c>
      <c r="D80" s="197" t="s">
        <v>1305</v>
      </c>
      <c r="G80" s="197" t="s">
        <v>1305</v>
      </c>
      <c r="H80" s="197" t="s">
        <v>2160</v>
      </c>
    </row>
    <row r="81" spans="1:8" ht="15">
      <c r="A81" s="197">
        <v>719</v>
      </c>
      <c r="B81" s="197" t="s">
        <v>1621</v>
      </c>
      <c r="D81" s="197" t="s">
        <v>1621</v>
      </c>
      <c r="G81" s="197" t="s">
        <v>1621</v>
      </c>
      <c r="H81" s="197" t="s">
        <v>2031</v>
      </c>
    </row>
    <row r="82" spans="1:8" ht="15">
      <c r="A82" s="197">
        <v>41</v>
      </c>
      <c r="B82" s="197" t="s">
        <v>1622</v>
      </c>
      <c r="C82" s="197" t="s">
        <v>1623</v>
      </c>
      <c r="D82" s="197" t="s">
        <v>1622</v>
      </c>
      <c r="G82" s="197" t="s">
        <v>1622</v>
      </c>
      <c r="H82" s="197" t="s">
        <v>1209</v>
      </c>
    </row>
    <row r="83" spans="1:8" ht="15">
      <c r="A83" s="197">
        <v>42</v>
      </c>
      <c r="B83" s="197" t="s">
        <v>1624</v>
      </c>
      <c r="D83" s="197" t="s">
        <v>1624</v>
      </c>
      <c r="G83" s="197" t="s">
        <v>1624</v>
      </c>
      <c r="H83" s="197" t="s">
        <v>1883</v>
      </c>
    </row>
    <row r="84" spans="1:8" ht="15">
      <c r="A84" s="197">
        <v>1067</v>
      </c>
      <c r="B84" s="197" t="s">
        <v>1625</v>
      </c>
      <c r="D84" s="197" t="s">
        <v>1625</v>
      </c>
      <c r="G84" s="197" t="s">
        <v>1625</v>
      </c>
      <c r="H84" s="197" t="s">
        <v>1760</v>
      </c>
    </row>
    <row r="85" spans="1:8" ht="15">
      <c r="A85" s="197">
        <v>43</v>
      </c>
      <c r="B85" s="197" t="s">
        <v>1626</v>
      </c>
      <c r="C85" s="197" t="s">
        <v>1627</v>
      </c>
      <c r="D85" s="197" t="s">
        <v>1626</v>
      </c>
      <c r="G85" s="197" t="s">
        <v>1626</v>
      </c>
      <c r="H85" s="197" t="s">
        <v>2052</v>
      </c>
    </row>
    <row r="86" spans="1:8" ht="15">
      <c r="A86" s="197">
        <v>1154</v>
      </c>
      <c r="B86" s="197" t="s">
        <v>1628</v>
      </c>
      <c r="C86" s="197" t="s">
        <v>1629</v>
      </c>
      <c r="D86" s="197" t="s">
        <v>1628</v>
      </c>
      <c r="G86" s="197" t="s">
        <v>1628</v>
      </c>
      <c r="H86" s="197" t="s">
        <v>1975</v>
      </c>
    </row>
    <row r="87" spans="1:8" ht="15">
      <c r="A87" s="197">
        <v>44</v>
      </c>
      <c r="B87" s="197" t="s">
        <v>1630</v>
      </c>
      <c r="C87" s="197" t="s">
        <v>1631</v>
      </c>
      <c r="D87" s="197" t="s">
        <v>1630</v>
      </c>
      <c r="G87" s="197" t="s">
        <v>1630</v>
      </c>
      <c r="H87" s="197" t="s">
        <v>61</v>
      </c>
    </row>
    <row r="88" spans="1:8" ht="15">
      <c r="A88" s="197">
        <v>720</v>
      </c>
      <c r="B88" s="197" t="s">
        <v>1632</v>
      </c>
      <c r="C88" s="197" t="s">
        <v>1633</v>
      </c>
      <c r="D88" s="197" t="s">
        <v>1632</v>
      </c>
      <c r="G88" s="197" t="s">
        <v>1632</v>
      </c>
      <c r="H88" s="197" t="s">
        <v>1897</v>
      </c>
    </row>
    <row r="89" spans="1:8" ht="15">
      <c r="A89" s="197">
        <v>46</v>
      </c>
      <c r="B89" s="197" t="s">
        <v>1634</v>
      </c>
      <c r="C89" s="197" t="s">
        <v>1370</v>
      </c>
      <c r="D89" s="197" t="s">
        <v>1634</v>
      </c>
      <c r="G89" s="197" t="s">
        <v>1634</v>
      </c>
      <c r="H89" s="197" t="s">
        <v>235</v>
      </c>
    </row>
    <row r="90" spans="1:8" ht="15">
      <c r="A90" s="197">
        <v>721</v>
      </c>
      <c r="B90" s="197" t="s">
        <v>1635</v>
      </c>
      <c r="C90" s="197" t="s">
        <v>1636</v>
      </c>
      <c r="D90" s="197" t="s">
        <v>1635</v>
      </c>
      <c r="G90" s="197" t="s">
        <v>1635</v>
      </c>
      <c r="H90" s="197" t="s">
        <v>531</v>
      </c>
    </row>
    <row r="91" spans="1:8" ht="15">
      <c r="A91" s="197">
        <v>722</v>
      </c>
      <c r="B91" s="197" t="s">
        <v>1637</v>
      </c>
      <c r="D91" s="197" t="s">
        <v>1637</v>
      </c>
      <c r="G91" s="197" t="s">
        <v>1637</v>
      </c>
      <c r="H91" s="197" t="s">
        <v>1979</v>
      </c>
    </row>
    <row r="92" spans="1:8" ht="15">
      <c r="A92" s="197">
        <v>723</v>
      </c>
      <c r="B92" s="197" t="s">
        <v>1638</v>
      </c>
      <c r="C92" s="197" t="s">
        <v>1639</v>
      </c>
      <c r="D92" s="197" t="s">
        <v>1638</v>
      </c>
      <c r="G92" s="197" t="s">
        <v>1638</v>
      </c>
      <c r="H92" s="197" t="s">
        <v>2545</v>
      </c>
    </row>
    <row r="93" spans="1:8" ht="15">
      <c r="A93" s="197">
        <v>48</v>
      </c>
      <c r="B93" s="197" t="s">
        <v>1640</v>
      </c>
      <c r="C93" s="197" t="s">
        <v>1641</v>
      </c>
      <c r="D93" s="197" t="s">
        <v>1640</v>
      </c>
      <c r="G93" s="197" t="s">
        <v>1640</v>
      </c>
      <c r="H93" s="197" t="s">
        <v>165</v>
      </c>
    </row>
    <row r="94" spans="1:8" ht="15">
      <c r="A94" s="197">
        <v>51</v>
      </c>
      <c r="B94" s="197" t="s">
        <v>1642</v>
      </c>
      <c r="D94" s="197" t="s">
        <v>1642</v>
      </c>
      <c r="G94" s="197" t="s">
        <v>1642</v>
      </c>
      <c r="H94" s="197" t="s">
        <v>220</v>
      </c>
    </row>
    <row r="95" spans="1:8" ht="15">
      <c r="A95" s="197">
        <v>55</v>
      </c>
      <c r="B95" s="197" t="s">
        <v>1643</v>
      </c>
      <c r="D95" s="197" t="s">
        <v>1643</v>
      </c>
      <c r="G95" s="197" t="s">
        <v>1643</v>
      </c>
      <c r="H95" s="197" t="s">
        <v>1813</v>
      </c>
    </row>
    <row r="96" spans="1:8" ht="15">
      <c r="A96" s="197">
        <v>50</v>
      </c>
      <c r="B96" s="197" t="s">
        <v>1644</v>
      </c>
      <c r="C96" s="197" t="s">
        <v>1645</v>
      </c>
      <c r="D96" s="197" t="s">
        <v>1644</v>
      </c>
      <c r="G96" s="197" t="s">
        <v>1644</v>
      </c>
      <c r="H96" s="197" t="s">
        <v>2477</v>
      </c>
    </row>
    <row r="97" spans="1:8" ht="15">
      <c r="A97" s="197">
        <v>54</v>
      </c>
      <c r="B97" s="197" t="s">
        <v>1646</v>
      </c>
      <c r="D97" s="197" t="s">
        <v>1646</v>
      </c>
      <c r="G97" s="197" t="s">
        <v>1646</v>
      </c>
      <c r="H97" s="197" t="s">
        <v>1565</v>
      </c>
    </row>
    <row r="98" spans="1:8" ht="15">
      <c r="A98" s="197">
        <v>49</v>
      </c>
      <c r="B98" s="197" t="s">
        <v>1647</v>
      </c>
      <c r="C98" s="197" t="s">
        <v>1648</v>
      </c>
      <c r="D98" s="197" t="s">
        <v>1647</v>
      </c>
      <c r="G98" s="197" t="s">
        <v>1647</v>
      </c>
      <c r="H98" s="197" t="s">
        <v>209</v>
      </c>
    </row>
    <row r="99" spans="1:8" ht="15">
      <c r="A99" s="197">
        <v>53</v>
      </c>
      <c r="B99" s="197" t="s">
        <v>1649</v>
      </c>
      <c r="C99" s="197" t="s">
        <v>1650</v>
      </c>
      <c r="D99" s="197" t="s">
        <v>1649</v>
      </c>
      <c r="G99" s="197" t="s">
        <v>1649</v>
      </c>
      <c r="H99" s="197" t="s">
        <v>2251</v>
      </c>
    </row>
    <row r="100" spans="1:8" ht="15">
      <c r="A100" s="197">
        <v>52</v>
      </c>
      <c r="B100" s="197" t="s">
        <v>640</v>
      </c>
      <c r="C100" s="197" t="s">
        <v>641</v>
      </c>
      <c r="D100" s="197" t="s">
        <v>640</v>
      </c>
      <c r="G100" s="197" t="s">
        <v>640</v>
      </c>
      <c r="H100" s="197" t="s">
        <v>1830</v>
      </c>
    </row>
    <row r="101" spans="1:8" ht="15">
      <c r="A101" s="197">
        <v>1144</v>
      </c>
      <c r="B101" s="197" t="s">
        <v>1651</v>
      </c>
      <c r="D101" s="197" t="s">
        <v>1651</v>
      </c>
      <c r="G101" s="197" t="s">
        <v>1651</v>
      </c>
      <c r="H101" s="197" t="s">
        <v>1993</v>
      </c>
    </row>
    <row r="102" spans="1:8" ht="15">
      <c r="A102" s="197">
        <v>1105</v>
      </c>
      <c r="B102" s="197" t="s">
        <v>1652</v>
      </c>
      <c r="D102" s="197" t="s">
        <v>1652</v>
      </c>
      <c r="G102" s="197" t="s">
        <v>1652</v>
      </c>
      <c r="H102" s="197" t="s">
        <v>2129</v>
      </c>
    </row>
    <row r="103" spans="1:8" ht="15">
      <c r="A103" s="197">
        <v>725</v>
      </c>
      <c r="B103" s="197" t="s">
        <v>1653</v>
      </c>
      <c r="C103" s="197" t="s">
        <v>1654</v>
      </c>
      <c r="D103" s="197" t="s">
        <v>1653</v>
      </c>
      <c r="G103" s="197" t="s">
        <v>1653</v>
      </c>
      <c r="H103" s="197" t="s">
        <v>2114</v>
      </c>
    </row>
    <row r="104" spans="1:8" ht="15">
      <c r="A104" s="197">
        <v>726</v>
      </c>
      <c r="B104" s="197" t="s">
        <v>1655</v>
      </c>
      <c r="D104" s="197" t="s">
        <v>1655</v>
      </c>
      <c r="G104" s="197" t="s">
        <v>1655</v>
      </c>
      <c r="H104" s="197" t="s">
        <v>1657</v>
      </c>
    </row>
    <row r="105" spans="1:8" ht="15">
      <c r="A105" s="197">
        <v>1146</v>
      </c>
      <c r="B105" s="197" t="s">
        <v>1656</v>
      </c>
      <c r="C105" s="197" t="s">
        <v>1657</v>
      </c>
      <c r="D105" s="197" t="s">
        <v>1656</v>
      </c>
      <c r="G105" s="197" t="s">
        <v>1656</v>
      </c>
      <c r="H105" s="197" t="s">
        <v>31</v>
      </c>
    </row>
    <row r="106" spans="1:8" ht="15">
      <c r="A106" s="197">
        <v>727</v>
      </c>
      <c r="B106" s="197" t="s">
        <v>1658</v>
      </c>
      <c r="C106" s="197" t="s">
        <v>1659</v>
      </c>
      <c r="D106" s="197" t="s">
        <v>1658</v>
      </c>
      <c r="G106" s="197" t="s">
        <v>1658</v>
      </c>
      <c r="H106" s="197" t="s">
        <v>381</v>
      </c>
    </row>
    <row r="107" spans="1:8" ht="15">
      <c r="A107" s="197">
        <v>57</v>
      </c>
      <c r="B107" s="197" t="s">
        <v>788</v>
      </c>
      <c r="C107" s="197" t="s">
        <v>1660</v>
      </c>
      <c r="D107" s="197" t="s">
        <v>788</v>
      </c>
      <c r="G107" s="197" t="s">
        <v>788</v>
      </c>
      <c r="H107" s="197" t="s">
        <v>2067</v>
      </c>
    </row>
    <row r="108" spans="1:8" ht="15">
      <c r="A108" s="197">
        <v>56</v>
      </c>
      <c r="B108" s="197" t="s">
        <v>1661</v>
      </c>
      <c r="C108" s="197" t="s">
        <v>1662</v>
      </c>
      <c r="D108" s="197" t="s">
        <v>1661</v>
      </c>
      <c r="G108" s="197" t="s">
        <v>1661</v>
      </c>
      <c r="H108" s="197" t="s">
        <v>146</v>
      </c>
    </row>
    <row r="109" spans="1:8" ht="15">
      <c r="A109" s="197">
        <v>59</v>
      </c>
      <c r="B109" s="197" t="s">
        <v>1663</v>
      </c>
      <c r="C109" s="197" t="s">
        <v>1664</v>
      </c>
      <c r="D109" s="197" t="s">
        <v>1663</v>
      </c>
      <c r="G109" s="197" t="s">
        <v>1663</v>
      </c>
      <c r="H109" s="197" t="s">
        <v>1961</v>
      </c>
    </row>
    <row r="110" spans="1:8" ht="15">
      <c r="A110" s="197">
        <v>58</v>
      </c>
      <c r="B110" s="197" t="s">
        <v>1665</v>
      </c>
      <c r="C110" s="197" t="s">
        <v>1666</v>
      </c>
      <c r="D110" s="197" t="s">
        <v>1665</v>
      </c>
      <c r="G110" s="197" t="s">
        <v>1665</v>
      </c>
      <c r="H110" s="197" t="s">
        <v>2410</v>
      </c>
    </row>
    <row r="111" spans="1:8" ht="15">
      <c r="A111" s="197">
        <v>60</v>
      </c>
      <c r="B111" s="197" t="s">
        <v>1667</v>
      </c>
      <c r="C111" s="197" t="s">
        <v>1668</v>
      </c>
      <c r="D111" s="197" t="s">
        <v>1667</v>
      </c>
      <c r="G111" s="197" t="s">
        <v>1667</v>
      </c>
      <c r="H111" s="197" t="s">
        <v>2037</v>
      </c>
    </row>
    <row r="112" spans="1:8" ht="15">
      <c r="A112" s="197">
        <v>61</v>
      </c>
      <c r="B112" s="197" t="s">
        <v>623</v>
      </c>
      <c r="C112" s="197" t="s">
        <v>624</v>
      </c>
      <c r="D112" s="197" t="s">
        <v>623</v>
      </c>
      <c r="G112" s="197" t="s">
        <v>623</v>
      </c>
      <c r="H112" s="197" t="s">
        <v>441</v>
      </c>
    </row>
    <row r="113" spans="1:8" ht="15">
      <c r="A113" s="197">
        <v>728</v>
      </c>
      <c r="B113" s="197" t="s">
        <v>1669</v>
      </c>
      <c r="C113" s="197" t="s">
        <v>1670</v>
      </c>
      <c r="D113" s="197" t="s">
        <v>1669</v>
      </c>
      <c r="G113" s="197" t="s">
        <v>1669</v>
      </c>
      <c r="H113" s="197" t="s">
        <v>133</v>
      </c>
    </row>
    <row r="114" spans="1:8" ht="15">
      <c r="A114" s="197">
        <v>187</v>
      </c>
      <c r="B114" s="197" t="s">
        <v>1671</v>
      </c>
      <c r="C114" s="197" t="s">
        <v>1258</v>
      </c>
      <c r="D114" s="197" t="s">
        <v>1671</v>
      </c>
      <c r="G114" s="197" t="s">
        <v>1671</v>
      </c>
      <c r="H114" s="197" t="s">
        <v>2475</v>
      </c>
    </row>
    <row r="115" spans="1:8" ht="15">
      <c r="A115" s="197">
        <v>729</v>
      </c>
      <c r="B115" s="197" t="s">
        <v>1672</v>
      </c>
      <c r="C115" s="197" t="s">
        <v>1673</v>
      </c>
      <c r="D115" s="197" t="s">
        <v>1672</v>
      </c>
      <c r="G115" s="197" t="s">
        <v>1672</v>
      </c>
      <c r="H115" s="197" t="s">
        <v>506</v>
      </c>
    </row>
    <row r="116" spans="1:8" ht="15">
      <c r="A116" s="197">
        <v>68</v>
      </c>
      <c r="B116" s="197" t="s">
        <v>1674</v>
      </c>
      <c r="D116" s="197" t="s">
        <v>1674</v>
      </c>
      <c r="G116" s="197" t="s">
        <v>1674</v>
      </c>
      <c r="H116" s="197" t="s">
        <v>161</v>
      </c>
    </row>
    <row r="117" spans="1:8" ht="15">
      <c r="A117" s="197">
        <v>730</v>
      </c>
      <c r="B117" s="197" t="s">
        <v>1675</v>
      </c>
      <c r="C117" s="197" t="s">
        <v>1676</v>
      </c>
      <c r="D117" s="197" t="s">
        <v>1675</v>
      </c>
      <c r="G117" s="197" t="s">
        <v>1675</v>
      </c>
      <c r="H117" s="197" t="s">
        <v>255</v>
      </c>
    </row>
    <row r="118" spans="1:8" ht="15">
      <c r="A118" s="197">
        <v>65</v>
      </c>
      <c r="B118" s="197" t="s">
        <v>1260</v>
      </c>
      <c r="C118" s="197" t="s">
        <v>1261</v>
      </c>
      <c r="D118" s="197" t="s">
        <v>1260</v>
      </c>
      <c r="G118" s="197" t="s">
        <v>1260</v>
      </c>
      <c r="H118" s="197" t="s">
        <v>353</v>
      </c>
    </row>
    <row r="119" spans="1:8" ht="15">
      <c r="A119" s="197">
        <v>688</v>
      </c>
      <c r="B119" s="197" t="s">
        <v>1677</v>
      </c>
      <c r="C119" s="197" t="s">
        <v>1678</v>
      </c>
      <c r="D119" s="197" t="s">
        <v>1677</v>
      </c>
      <c r="G119" s="197" t="s">
        <v>1677</v>
      </c>
      <c r="H119" s="197" t="s">
        <v>1574</v>
      </c>
    </row>
    <row r="120" spans="1:8" ht="15">
      <c r="A120" s="197">
        <v>69</v>
      </c>
      <c r="B120" s="197" t="s">
        <v>1679</v>
      </c>
      <c r="D120" s="197" t="s">
        <v>1679</v>
      </c>
      <c r="G120" s="197" t="s">
        <v>1679</v>
      </c>
      <c r="H120" s="197" t="s">
        <v>1732</v>
      </c>
    </row>
    <row r="121" spans="1:8" ht="15">
      <c r="A121" s="197">
        <v>70</v>
      </c>
      <c r="B121" s="197" t="s">
        <v>716</v>
      </c>
      <c r="C121" s="197" t="s">
        <v>1213</v>
      </c>
      <c r="D121" s="197" t="s">
        <v>716</v>
      </c>
      <c r="G121" s="197" t="s">
        <v>716</v>
      </c>
      <c r="H121" s="197" t="s">
        <v>1673</v>
      </c>
    </row>
    <row r="122" spans="1:8" ht="15">
      <c r="A122" s="197">
        <v>731</v>
      </c>
      <c r="B122" s="197" t="s">
        <v>1204</v>
      </c>
      <c r="C122" s="197" t="s">
        <v>1205</v>
      </c>
      <c r="D122" s="197" t="s">
        <v>1204</v>
      </c>
      <c r="G122" s="197" t="s">
        <v>1204</v>
      </c>
      <c r="H122" s="197" t="s">
        <v>2021</v>
      </c>
    </row>
    <row r="123" spans="1:8" ht="15">
      <c r="A123" s="197">
        <v>469</v>
      </c>
      <c r="B123" s="197" t="s">
        <v>1680</v>
      </c>
      <c r="C123" s="197" t="s">
        <v>1237</v>
      </c>
      <c r="D123" s="197" t="s">
        <v>1680</v>
      </c>
      <c r="G123" s="197" t="s">
        <v>1680</v>
      </c>
      <c r="H123" s="197" t="s">
        <v>2496</v>
      </c>
    </row>
    <row r="124" spans="1:8" ht="15">
      <c r="A124" s="197">
        <v>732</v>
      </c>
      <c r="B124" s="197" t="s">
        <v>1681</v>
      </c>
      <c r="C124" s="197" t="s">
        <v>1682</v>
      </c>
      <c r="D124" s="197" t="s">
        <v>1681</v>
      </c>
      <c r="G124" s="197" t="s">
        <v>1681</v>
      </c>
      <c r="H124" s="197" t="s">
        <v>535</v>
      </c>
    </row>
    <row r="125" spans="1:8" ht="15">
      <c r="A125" s="197">
        <v>71</v>
      </c>
      <c r="B125" s="197" t="s">
        <v>1683</v>
      </c>
      <c r="C125" s="197" t="s">
        <v>1684</v>
      </c>
      <c r="D125" s="197" t="s">
        <v>1683</v>
      </c>
      <c r="G125" s="197" t="s">
        <v>1683</v>
      </c>
      <c r="H125" s="197" t="s">
        <v>2008</v>
      </c>
    </row>
    <row r="126" spans="1:8" ht="15">
      <c r="A126" s="197">
        <v>75</v>
      </c>
      <c r="B126" s="197" t="s">
        <v>1685</v>
      </c>
      <c r="C126" s="197" t="s">
        <v>1686</v>
      </c>
      <c r="D126" s="197" t="s">
        <v>1685</v>
      </c>
      <c r="G126" s="197" t="s">
        <v>1685</v>
      </c>
      <c r="H126" s="197" t="s">
        <v>2271</v>
      </c>
    </row>
    <row r="127" spans="1:8" ht="15">
      <c r="A127" s="197">
        <v>733</v>
      </c>
      <c r="B127" s="197" t="s">
        <v>1687</v>
      </c>
      <c r="C127" s="197" t="s">
        <v>1688</v>
      </c>
      <c r="D127" s="197" t="s">
        <v>1687</v>
      </c>
      <c r="G127" s="197" t="s">
        <v>1687</v>
      </c>
      <c r="H127" s="197" t="s">
        <v>2365</v>
      </c>
    </row>
    <row r="128" spans="1:8" ht="15">
      <c r="A128" s="197">
        <v>73</v>
      </c>
      <c r="B128" s="197" t="s">
        <v>1239</v>
      </c>
      <c r="C128" s="197" t="s">
        <v>1689</v>
      </c>
      <c r="D128" s="197" t="s">
        <v>1239</v>
      </c>
      <c r="G128" s="197" t="s">
        <v>1239</v>
      </c>
      <c r="H128" s="197" t="s">
        <v>1511</v>
      </c>
    </row>
    <row r="129" spans="1:8" ht="15">
      <c r="A129" s="197">
        <v>76</v>
      </c>
      <c r="B129" s="197" t="s">
        <v>1690</v>
      </c>
      <c r="C129" s="197" t="s">
        <v>1691</v>
      </c>
      <c r="D129" s="197" t="s">
        <v>1690</v>
      </c>
      <c r="G129" s="197" t="s">
        <v>1690</v>
      </c>
      <c r="H129" s="197" t="s">
        <v>285</v>
      </c>
    </row>
    <row r="130" spans="1:8" ht="15">
      <c r="A130" s="197">
        <v>734</v>
      </c>
      <c r="B130" s="197" t="s">
        <v>1692</v>
      </c>
      <c r="D130" s="197" t="s">
        <v>1692</v>
      </c>
      <c r="G130" s="197" t="s">
        <v>1692</v>
      </c>
      <c r="H130" s="197" t="s">
        <v>276</v>
      </c>
    </row>
    <row r="131" spans="1:8" ht="15">
      <c r="A131" s="197">
        <v>735</v>
      </c>
      <c r="B131" s="197" t="s">
        <v>1693</v>
      </c>
      <c r="C131" s="197" t="s">
        <v>1694</v>
      </c>
      <c r="D131" s="197" t="s">
        <v>1693</v>
      </c>
      <c r="G131" s="197" t="s">
        <v>1693</v>
      </c>
      <c r="H131" s="197" t="s">
        <v>1578</v>
      </c>
    </row>
    <row r="132" spans="1:8" ht="15">
      <c r="A132" s="197">
        <v>80</v>
      </c>
      <c r="B132" s="197" t="s">
        <v>1695</v>
      </c>
      <c r="D132" s="197" t="s">
        <v>1695</v>
      </c>
      <c r="G132" s="197" t="s">
        <v>1695</v>
      </c>
      <c r="H132" s="197" t="s">
        <v>319</v>
      </c>
    </row>
    <row r="133" spans="1:8" ht="15">
      <c r="A133" s="197">
        <v>78</v>
      </c>
      <c r="B133" s="197" t="s">
        <v>1696</v>
      </c>
      <c r="D133" s="197" t="s">
        <v>1696</v>
      </c>
      <c r="G133" s="197" t="s">
        <v>1696</v>
      </c>
      <c r="H133" s="197" t="s">
        <v>1809</v>
      </c>
    </row>
    <row r="134" spans="1:8" ht="15">
      <c r="A134" s="197">
        <v>79</v>
      </c>
      <c r="B134" s="197" t="s">
        <v>1697</v>
      </c>
      <c r="C134" s="197" t="s">
        <v>1698</v>
      </c>
      <c r="D134" s="197" t="s">
        <v>1697</v>
      </c>
      <c r="G134" s="197" t="s">
        <v>1697</v>
      </c>
      <c r="H134" s="197" t="s">
        <v>176</v>
      </c>
    </row>
    <row r="135" spans="1:8" ht="15">
      <c r="A135" s="197">
        <v>736</v>
      </c>
      <c r="B135" s="197" t="s">
        <v>1699</v>
      </c>
      <c r="D135" s="197" t="s">
        <v>1699</v>
      </c>
      <c r="G135" s="197" t="s">
        <v>1699</v>
      </c>
      <c r="H135" s="197" t="s">
        <v>2249</v>
      </c>
    </row>
    <row r="136" spans="1:8" ht="15">
      <c r="A136" s="197">
        <v>566</v>
      </c>
      <c r="B136" s="197" t="s">
        <v>1700</v>
      </c>
      <c r="C136" s="197" t="s">
        <v>1701</v>
      </c>
      <c r="D136" s="197" t="s">
        <v>1700</v>
      </c>
      <c r="G136" s="197" t="s">
        <v>1700</v>
      </c>
      <c r="H136" s="197" t="s">
        <v>1774</v>
      </c>
    </row>
    <row r="137" spans="1:8" ht="15">
      <c r="A137" s="197">
        <v>81</v>
      </c>
      <c r="B137" s="197" t="s">
        <v>1702</v>
      </c>
      <c r="C137" s="197" t="s">
        <v>1703</v>
      </c>
      <c r="D137" s="197" t="s">
        <v>1702</v>
      </c>
      <c r="G137" s="197" t="s">
        <v>1702</v>
      </c>
      <c r="H137" s="197" t="s">
        <v>212</v>
      </c>
    </row>
    <row r="138" spans="1:8" ht="15">
      <c r="A138" s="197">
        <v>737</v>
      </c>
      <c r="B138" s="197" t="s">
        <v>1704</v>
      </c>
      <c r="C138" s="197" t="s">
        <v>1705</v>
      </c>
      <c r="D138" s="197" t="s">
        <v>1704</v>
      </c>
      <c r="G138" s="197" t="s">
        <v>1704</v>
      </c>
      <c r="H138" s="197" t="s">
        <v>2464</v>
      </c>
    </row>
    <row r="139" spans="1:8" ht="15">
      <c r="A139" s="197">
        <v>82</v>
      </c>
      <c r="B139" s="197" t="s">
        <v>1706</v>
      </c>
      <c r="C139" s="197" t="s">
        <v>1707</v>
      </c>
      <c r="D139" s="197" t="s">
        <v>1706</v>
      </c>
      <c r="G139" s="197" t="s">
        <v>1706</v>
      </c>
      <c r="H139" s="197" t="s">
        <v>2117</v>
      </c>
    </row>
    <row r="140" spans="1:8" ht="15">
      <c r="A140" s="197">
        <v>738</v>
      </c>
      <c r="B140" s="197" t="s">
        <v>1708</v>
      </c>
      <c r="C140" s="197" t="s">
        <v>1709</v>
      </c>
      <c r="D140" s="197" t="s">
        <v>1708</v>
      </c>
      <c r="G140" s="197" t="s">
        <v>1708</v>
      </c>
      <c r="H140" s="197" t="s">
        <v>289</v>
      </c>
    </row>
    <row r="141" spans="1:8" ht="15">
      <c r="A141" s="197">
        <v>739</v>
      </c>
      <c r="B141" s="197" t="s">
        <v>1710</v>
      </c>
      <c r="D141" s="197" t="s">
        <v>1710</v>
      </c>
      <c r="G141" s="197" t="s">
        <v>1710</v>
      </c>
      <c r="H141" s="197" t="s">
        <v>1580</v>
      </c>
    </row>
    <row r="142" spans="1:8" ht="15">
      <c r="A142" s="197">
        <v>83</v>
      </c>
      <c r="B142" s="197" t="s">
        <v>1711</v>
      </c>
      <c r="D142" s="197" t="s">
        <v>1711</v>
      </c>
      <c r="G142" s="197" t="s">
        <v>1711</v>
      </c>
      <c r="H142" s="197" t="s">
        <v>553</v>
      </c>
    </row>
    <row r="143" spans="1:8" ht="15">
      <c r="A143" s="197">
        <v>1184</v>
      </c>
      <c r="B143" s="197" t="s">
        <v>1712</v>
      </c>
      <c r="D143" s="197" t="s">
        <v>1712</v>
      </c>
      <c r="G143" s="197" t="s">
        <v>1712</v>
      </c>
      <c r="H143" s="197" t="s">
        <v>1304</v>
      </c>
    </row>
    <row r="144" spans="1:8" ht="15">
      <c r="A144" s="197">
        <v>569</v>
      </c>
      <c r="B144" s="197" t="s">
        <v>1713</v>
      </c>
      <c r="C144" s="197" t="s">
        <v>1714</v>
      </c>
      <c r="D144" s="197" t="s">
        <v>1713</v>
      </c>
      <c r="G144" s="197" t="s">
        <v>1713</v>
      </c>
      <c r="H144" s="197" t="s">
        <v>1235</v>
      </c>
    </row>
    <row r="145" spans="1:8" ht="15">
      <c r="A145" s="197">
        <v>84</v>
      </c>
      <c r="B145" s="197" t="s">
        <v>1715</v>
      </c>
      <c r="C145" s="197" t="s">
        <v>1716</v>
      </c>
      <c r="D145" s="197" t="s">
        <v>1715</v>
      </c>
      <c r="G145" s="197" t="s">
        <v>1715</v>
      </c>
      <c r="H145" s="197" t="s">
        <v>159</v>
      </c>
    </row>
    <row r="146" spans="1:8" ht="15">
      <c r="A146" s="197">
        <v>1181</v>
      </c>
      <c r="B146" s="197" t="s">
        <v>1717</v>
      </c>
      <c r="D146" s="197" t="s">
        <v>1717</v>
      </c>
      <c r="G146" s="197" t="s">
        <v>1717</v>
      </c>
      <c r="H146" s="197" t="s">
        <v>126</v>
      </c>
    </row>
    <row r="147" spans="1:8" ht="15">
      <c r="A147" s="197">
        <v>740</v>
      </c>
      <c r="B147" s="197" t="s">
        <v>1718</v>
      </c>
      <c r="D147" s="197" t="s">
        <v>1718</v>
      </c>
      <c r="G147" s="197" t="s">
        <v>1718</v>
      </c>
      <c r="H147" s="197" t="s">
        <v>2550</v>
      </c>
    </row>
    <row r="148" spans="1:8" ht="15">
      <c r="A148" s="197">
        <v>741</v>
      </c>
      <c r="B148" s="197" t="s">
        <v>1719</v>
      </c>
      <c r="D148" s="197" t="s">
        <v>1719</v>
      </c>
      <c r="G148" s="197" t="s">
        <v>1719</v>
      </c>
      <c r="H148" s="197" t="s">
        <v>484</v>
      </c>
    </row>
    <row r="149" spans="1:8" ht="15">
      <c r="A149" s="197">
        <v>667</v>
      </c>
      <c r="B149" s="197" t="s">
        <v>1720</v>
      </c>
      <c r="C149" s="197" t="s">
        <v>1721</v>
      </c>
      <c r="D149" s="197" t="s">
        <v>1720</v>
      </c>
      <c r="G149" s="197" t="s">
        <v>1720</v>
      </c>
      <c r="H149" s="197" t="s">
        <v>648</v>
      </c>
    </row>
    <row r="150" spans="1:8" ht="15">
      <c r="A150" s="197">
        <v>742</v>
      </c>
      <c r="B150" s="197" t="s">
        <v>1722</v>
      </c>
      <c r="D150" s="197" t="s">
        <v>1722</v>
      </c>
      <c r="G150" s="197" t="s">
        <v>1722</v>
      </c>
      <c r="H150" s="197" t="s">
        <v>1331</v>
      </c>
    </row>
    <row r="151" spans="1:8" ht="15">
      <c r="A151" s="197">
        <v>743</v>
      </c>
      <c r="B151" s="197" t="s">
        <v>1723</v>
      </c>
      <c r="C151" s="197" t="s">
        <v>1724</v>
      </c>
      <c r="D151" s="197" t="s">
        <v>1723</v>
      </c>
      <c r="G151" s="197" t="s">
        <v>1723</v>
      </c>
      <c r="H151" s="197" t="s">
        <v>2519</v>
      </c>
    </row>
    <row r="152" spans="1:8" ht="15">
      <c r="A152" s="197">
        <v>744</v>
      </c>
      <c r="B152" s="197" t="s">
        <v>1725</v>
      </c>
      <c r="C152" s="197" t="s">
        <v>1726</v>
      </c>
      <c r="D152" s="197" t="s">
        <v>1725</v>
      </c>
      <c r="G152" s="197" t="s">
        <v>1725</v>
      </c>
      <c r="H152" s="197" t="s">
        <v>1505</v>
      </c>
    </row>
    <row r="153" spans="1:8" ht="15">
      <c r="A153" s="197">
        <v>85</v>
      </c>
      <c r="B153" s="197" t="s">
        <v>1727</v>
      </c>
      <c r="C153" s="197" t="s">
        <v>1728</v>
      </c>
      <c r="D153" s="197" t="s">
        <v>1727</v>
      </c>
      <c r="G153" s="197" t="s">
        <v>1727</v>
      </c>
      <c r="H153" s="197" t="s">
        <v>711</v>
      </c>
    </row>
    <row r="154" spans="1:8" ht="15">
      <c r="A154" s="197">
        <v>86</v>
      </c>
      <c r="B154" s="197" t="s">
        <v>1729</v>
      </c>
      <c r="C154" s="197" t="s">
        <v>1730</v>
      </c>
      <c r="D154" s="197" t="s">
        <v>1729</v>
      </c>
      <c r="G154" s="197" t="s">
        <v>1729</v>
      </c>
      <c r="H154" s="197" t="s">
        <v>2206</v>
      </c>
    </row>
    <row r="155" spans="1:8" ht="15">
      <c r="A155" s="197">
        <v>87</v>
      </c>
      <c r="B155" s="197" t="s">
        <v>687</v>
      </c>
      <c r="C155" s="197" t="s">
        <v>1126</v>
      </c>
      <c r="D155" s="197" t="s">
        <v>687</v>
      </c>
      <c r="G155" s="197" t="s">
        <v>687</v>
      </c>
      <c r="H155" s="197" t="s">
        <v>1936</v>
      </c>
    </row>
    <row r="156" spans="1:8" ht="15">
      <c r="A156" s="197">
        <v>77</v>
      </c>
      <c r="B156" s="197" t="s">
        <v>1731</v>
      </c>
      <c r="C156" s="197" t="s">
        <v>1732</v>
      </c>
      <c r="D156" s="197" t="s">
        <v>1731</v>
      </c>
      <c r="G156" s="197" t="s">
        <v>1731</v>
      </c>
      <c r="H156" s="197" t="s">
        <v>1739</v>
      </c>
    </row>
    <row r="157" spans="1:8" ht="15">
      <c r="A157" s="197">
        <v>91</v>
      </c>
      <c r="B157" s="197" t="s">
        <v>1733</v>
      </c>
      <c r="D157" s="197" t="s">
        <v>1733</v>
      </c>
      <c r="G157" s="197" t="s">
        <v>1733</v>
      </c>
      <c r="H157" s="197" t="s">
        <v>1684</v>
      </c>
    </row>
    <row r="158" spans="1:8" ht="15">
      <c r="A158" s="197">
        <v>88</v>
      </c>
      <c r="B158" s="197" t="s">
        <v>1734</v>
      </c>
      <c r="D158" s="197" t="s">
        <v>1734</v>
      </c>
      <c r="G158" s="197" t="s">
        <v>1734</v>
      </c>
      <c r="H158" s="197" t="s">
        <v>109</v>
      </c>
    </row>
    <row r="159" spans="1:8" ht="15">
      <c r="A159" s="197">
        <v>89</v>
      </c>
      <c r="B159" s="197" t="s">
        <v>1735</v>
      </c>
      <c r="D159" s="197" t="s">
        <v>1735</v>
      </c>
      <c r="G159" s="197" t="s">
        <v>1735</v>
      </c>
      <c r="H159" s="197" t="s">
        <v>1261</v>
      </c>
    </row>
    <row r="160" spans="1:8" ht="15">
      <c r="A160" s="197">
        <v>90</v>
      </c>
      <c r="B160" s="197" t="s">
        <v>1736</v>
      </c>
      <c r="C160" s="197" t="s">
        <v>1737</v>
      </c>
      <c r="D160" s="197" t="s">
        <v>1736</v>
      </c>
      <c r="G160" s="197" t="s">
        <v>1736</v>
      </c>
      <c r="H160" s="197" t="s">
        <v>478</v>
      </c>
    </row>
    <row r="161" spans="1:8" ht="15">
      <c r="A161" s="197">
        <v>745</v>
      </c>
      <c r="B161" s="197" t="s">
        <v>1738</v>
      </c>
      <c r="C161" s="197" t="s">
        <v>1739</v>
      </c>
      <c r="D161" s="197" t="s">
        <v>1738</v>
      </c>
      <c r="G161" s="197" t="s">
        <v>1738</v>
      </c>
      <c r="H161" s="197" t="s">
        <v>2344</v>
      </c>
    </row>
    <row r="162" spans="1:8" ht="15">
      <c r="A162" s="197">
        <v>92</v>
      </c>
      <c r="B162" s="197" t="s">
        <v>1740</v>
      </c>
      <c r="D162" s="197" t="s">
        <v>1740</v>
      </c>
      <c r="G162" s="197" t="s">
        <v>1740</v>
      </c>
      <c r="H162" s="197" t="s">
        <v>237</v>
      </c>
    </row>
    <row r="163" spans="1:8" ht="15">
      <c r="A163" s="197">
        <v>93</v>
      </c>
      <c r="B163" s="197" t="s">
        <v>1741</v>
      </c>
      <c r="C163" s="197" t="s">
        <v>1742</v>
      </c>
      <c r="D163" s="197" t="s">
        <v>1741</v>
      </c>
      <c r="G163" s="197" t="s">
        <v>1741</v>
      </c>
      <c r="H163" s="197" t="s">
        <v>1509</v>
      </c>
    </row>
    <row r="164" spans="1:8" ht="15">
      <c r="A164" s="197">
        <v>746</v>
      </c>
      <c r="B164" s="197" t="s">
        <v>1743</v>
      </c>
      <c r="C164" s="197" t="s">
        <v>1744</v>
      </c>
      <c r="D164" s="197" t="s">
        <v>1743</v>
      </c>
      <c r="G164" s="197" t="s">
        <v>1743</v>
      </c>
      <c r="H164" s="197" t="s">
        <v>43</v>
      </c>
    </row>
    <row r="165" spans="1:8" ht="15">
      <c r="A165" s="197">
        <v>96</v>
      </c>
      <c r="B165" s="197" t="s">
        <v>1745</v>
      </c>
      <c r="C165" s="197" t="s">
        <v>1746</v>
      </c>
      <c r="D165" s="197" t="s">
        <v>1745</v>
      </c>
      <c r="G165" s="197" t="s">
        <v>1745</v>
      </c>
      <c r="H165" s="197" t="s">
        <v>1537</v>
      </c>
    </row>
    <row r="166" spans="1:8" ht="15">
      <c r="A166" s="197">
        <v>94</v>
      </c>
      <c r="B166" s="197" t="s">
        <v>1747</v>
      </c>
      <c r="C166" s="197" t="s">
        <v>1748</v>
      </c>
      <c r="D166" s="197" t="s">
        <v>1747</v>
      </c>
      <c r="G166" s="197" t="s">
        <v>1747</v>
      </c>
      <c r="H166" s="197" t="s">
        <v>2260</v>
      </c>
    </row>
    <row r="167" spans="1:8" ht="15">
      <c r="A167" s="197">
        <v>747</v>
      </c>
      <c r="B167" s="197" t="s">
        <v>1749</v>
      </c>
      <c r="C167" s="197" t="s">
        <v>1750</v>
      </c>
      <c r="D167" s="197" t="s">
        <v>1749</v>
      </c>
      <c r="G167" s="197" t="s">
        <v>1749</v>
      </c>
      <c r="H167" s="197" t="s">
        <v>542</v>
      </c>
    </row>
    <row r="168" spans="1:8" ht="15">
      <c r="A168" s="197">
        <v>695</v>
      </c>
      <c r="B168" s="197" t="s">
        <v>1751</v>
      </c>
      <c r="C168" s="197" t="s">
        <v>1752</v>
      </c>
      <c r="D168" s="197" t="s">
        <v>1751</v>
      </c>
      <c r="G168" s="197" t="s">
        <v>1751</v>
      </c>
      <c r="H168" s="197" t="s">
        <v>2088</v>
      </c>
    </row>
    <row r="169" spans="1:8" ht="15">
      <c r="A169" s="197">
        <v>748</v>
      </c>
      <c r="B169" s="197" t="s">
        <v>1753</v>
      </c>
      <c r="D169" s="197" t="s">
        <v>1753</v>
      </c>
      <c r="G169" s="197" t="s">
        <v>1753</v>
      </c>
      <c r="H169" s="197" t="s">
        <v>2530</v>
      </c>
    </row>
    <row r="170" spans="1:8" ht="15">
      <c r="A170" s="197">
        <v>749</v>
      </c>
      <c r="B170" s="197" t="s">
        <v>1754</v>
      </c>
      <c r="C170" s="197" t="s">
        <v>1755</v>
      </c>
      <c r="D170" s="197" t="s">
        <v>1754</v>
      </c>
      <c r="G170" s="197" t="s">
        <v>1754</v>
      </c>
      <c r="H170" s="197" t="s">
        <v>562</v>
      </c>
    </row>
    <row r="171" spans="1:8" ht="15">
      <c r="A171" s="197">
        <v>97</v>
      </c>
      <c r="B171" s="197" t="s">
        <v>1756</v>
      </c>
      <c r="D171" s="197" t="s">
        <v>1756</v>
      </c>
      <c r="G171" s="197" t="s">
        <v>1756</v>
      </c>
      <c r="H171" s="197" t="s">
        <v>1308</v>
      </c>
    </row>
    <row r="172" spans="1:8" ht="15">
      <c r="A172" s="197">
        <v>585</v>
      </c>
      <c r="B172" s="197" t="s">
        <v>1757</v>
      </c>
      <c r="C172" s="197" t="s">
        <v>1758</v>
      </c>
      <c r="D172" s="197" t="s">
        <v>1757</v>
      </c>
      <c r="G172" s="197" t="s">
        <v>1757</v>
      </c>
      <c r="H172" s="197" t="s">
        <v>1782</v>
      </c>
    </row>
    <row r="173" spans="1:8" ht="15">
      <c r="A173" s="197">
        <v>750</v>
      </c>
      <c r="B173" s="197" t="s">
        <v>1759</v>
      </c>
      <c r="C173" s="197" t="s">
        <v>1760</v>
      </c>
      <c r="D173" s="197" t="s">
        <v>1759</v>
      </c>
      <c r="G173" s="197" t="s">
        <v>1759</v>
      </c>
      <c r="H173" s="197" t="s">
        <v>480</v>
      </c>
    </row>
    <row r="174" spans="1:8" ht="15">
      <c r="A174" s="197">
        <v>751</v>
      </c>
      <c r="B174" s="197" t="s">
        <v>1761</v>
      </c>
      <c r="D174" s="197" t="s">
        <v>1761</v>
      </c>
      <c r="G174" s="197" t="s">
        <v>1761</v>
      </c>
      <c r="H174" s="197" t="s">
        <v>2305</v>
      </c>
    </row>
    <row r="175" spans="1:8" ht="15">
      <c r="A175" s="197">
        <v>625</v>
      </c>
      <c r="B175" s="197" t="s">
        <v>1762</v>
      </c>
      <c r="D175" s="197" t="s">
        <v>1762</v>
      </c>
      <c r="G175" s="197" t="s">
        <v>1762</v>
      </c>
      <c r="H175" s="197" t="s">
        <v>2523</v>
      </c>
    </row>
    <row r="176" spans="1:8" ht="15">
      <c r="A176" s="197">
        <v>98</v>
      </c>
      <c r="B176" s="197" t="s">
        <v>1257</v>
      </c>
      <c r="C176" s="197" t="s">
        <v>766</v>
      </c>
      <c r="D176" s="197" t="s">
        <v>1257</v>
      </c>
      <c r="G176" s="197" t="s">
        <v>1257</v>
      </c>
      <c r="H176" s="197" t="s">
        <v>1234</v>
      </c>
    </row>
    <row r="177" spans="1:8" ht="15">
      <c r="A177" s="197">
        <v>752</v>
      </c>
      <c r="B177" s="197" t="s">
        <v>1763</v>
      </c>
      <c r="C177" s="197" t="s">
        <v>1764</v>
      </c>
      <c r="D177" s="197" t="s">
        <v>1763</v>
      </c>
      <c r="G177" s="197" t="s">
        <v>1763</v>
      </c>
      <c r="H177" s="197" t="s">
        <v>321</v>
      </c>
    </row>
    <row r="178" spans="1:8" ht="15">
      <c r="A178" s="197">
        <v>100</v>
      </c>
      <c r="B178" s="197" t="s">
        <v>1765</v>
      </c>
      <c r="C178" s="197" t="s">
        <v>1766</v>
      </c>
      <c r="D178" s="197" t="s">
        <v>1765</v>
      </c>
      <c r="G178" s="197" t="s">
        <v>1765</v>
      </c>
      <c r="H178" s="197" t="s">
        <v>2146</v>
      </c>
    </row>
    <row r="179" spans="1:8" ht="15">
      <c r="A179" s="197">
        <v>753</v>
      </c>
      <c r="B179" s="197" t="s">
        <v>1767</v>
      </c>
      <c r="D179" s="197" t="s">
        <v>1767</v>
      </c>
      <c r="G179" s="197" t="s">
        <v>1767</v>
      </c>
      <c r="H179" s="197" t="s">
        <v>540</v>
      </c>
    </row>
    <row r="180" spans="1:8" ht="15">
      <c r="A180" s="197">
        <v>591</v>
      </c>
      <c r="B180" s="197" t="s">
        <v>1768</v>
      </c>
      <c r="C180" s="197" t="s">
        <v>1769</v>
      </c>
      <c r="D180" s="197" t="s">
        <v>1768</v>
      </c>
      <c r="G180" s="197" t="s">
        <v>1768</v>
      </c>
      <c r="H180" s="197" t="s">
        <v>313</v>
      </c>
    </row>
    <row r="181" spans="1:8" ht="15">
      <c r="A181" s="197">
        <v>99</v>
      </c>
      <c r="B181" s="197" t="s">
        <v>1770</v>
      </c>
      <c r="C181" s="197" t="s">
        <v>1771</v>
      </c>
      <c r="D181" s="197" t="s">
        <v>1770</v>
      </c>
      <c r="G181" s="197" t="s">
        <v>1770</v>
      </c>
      <c r="H181" s="197" t="s">
        <v>2127</v>
      </c>
    </row>
    <row r="182" spans="1:8" ht="15">
      <c r="A182" s="197">
        <v>754</v>
      </c>
      <c r="B182" s="197" t="s">
        <v>1772</v>
      </c>
      <c r="D182" s="197" t="s">
        <v>1772</v>
      </c>
      <c r="G182" s="197" t="s">
        <v>1772</v>
      </c>
      <c r="H182" s="197" t="s">
        <v>1737</v>
      </c>
    </row>
    <row r="183" spans="1:8" ht="15">
      <c r="A183" s="197">
        <v>755</v>
      </c>
      <c r="B183" s="197" t="s">
        <v>1773</v>
      </c>
      <c r="C183" s="197" t="s">
        <v>1774</v>
      </c>
      <c r="D183" s="197" t="s">
        <v>1773</v>
      </c>
      <c r="G183" s="197" t="s">
        <v>1773</v>
      </c>
      <c r="H183" s="197" t="s">
        <v>66</v>
      </c>
    </row>
    <row r="184" spans="1:8" ht="15">
      <c r="A184" s="197">
        <v>101</v>
      </c>
      <c r="B184" s="197" t="s">
        <v>767</v>
      </c>
      <c r="C184" s="197" t="s">
        <v>768</v>
      </c>
      <c r="D184" s="197" t="s">
        <v>767</v>
      </c>
      <c r="G184" s="197" t="s">
        <v>767</v>
      </c>
      <c r="H184" s="197" t="s">
        <v>2512</v>
      </c>
    </row>
    <row r="185" spans="1:8" ht="15">
      <c r="A185" s="197">
        <v>102</v>
      </c>
      <c r="B185" s="197" t="s">
        <v>1775</v>
      </c>
      <c r="C185" s="197" t="s">
        <v>1776</v>
      </c>
      <c r="D185" s="197" t="s">
        <v>1775</v>
      </c>
      <c r="G185" s="197" t="s">
        <v>1775</v>
      </c>
      <c r="H185" s="197" t="s">
        <v>2359</v>
      </c>
    </row>
    <row r="186" spans="1:8" ht="15">
      <c r="A186" s="197">
        <v>1182</v>
      </c>
      <c r="B186" s="197" t="s">
        <v>1777</v>
      </c>
      <c r="C186" s="197" t="s">
        <v>1778</v>
      </c>
      <c r="D186" s="197" t="s">
        <v>1777</v>
      </c>
      <c r="G186" s="197" t="s">
        <v>1777</v>
      </c>
      <c r="H186" s="197" t="s">
        <v>518</v>
      </c>
    </row>
    <row r="187" spans="1:8" ht="15">
      <c r="A187" s="197">
        <v>1002</v>
      </c>
      <c r="B187" s="197" t="s">
        <v>1779</v>
      </c>
      <c r="D187" s="197" t="s">
        <v>1779</v>
      </c>
      <c r="G187" s="197" t="s">
        <v>1779</v>
      </c>
      <c r="H187" s="197" t="s">
        <v>287</v>
      </c>
    </row>
    <row r="188" spans="1:8" ht="15">
      <c r="A188" s="197">
        <v>103</v>
      </c>
      <c r="B188" s="197" t="s">
        <v>1780</v>
      </c>
      <c r="D188" s="197" t="s">
        <v>1780</v>
      </c>
      <c r="G188" s="197" t="s">
        <v>1780</v>
      </c>
      <c r="H188" s="197" t="s">
        <v>118</v>
      </c>
    </row>
    <row r="189" spans="1:8" ht="15">
      <c r="A189" s="197">
        <v>664</v>
      </c>
      <c r="B189" s="197" t="s">
        <v>1781</v>
      </c>
      <c r="C189" s="197" t="s">
        <v>1782</v>
      </c>
      <c r="D189" s="197" t="s">
        <v>1781</v>
      </c>
      <c r="G189" s="197" t="s">
        <v>1781</v>
      </c>
      <c r="H189" s="197" t="s">
        <v>2352</v>
      </c>
    </row>
    <row r="190" spans="1:8" ht="15">
      <c r="A190" s="197">
        <v>841</v>
      </c>
      <c r="B190" s="197" t="s">
        <v>1783</v>
      </c>
      <c r="C190" s="197" t="s">
        <v>1784</v>
      </c>
      <c r="D190" s="197" t="s">
        <v>1783</v>
      </c>
      <c r="G190" s="197" t="s">
        <v>1783</v>
      </c>
      <c r="H190" s="197" t="s">
        <v>262</v>
      </c>
    </row>
    <row r="191" spans="1:8" ht="15">
      <c r="A191" s="197">
        <v>842</v>
      </c>
      <c r="B191" s="197" t="s">
        <v>1785</v>
      </c>
      <c r="C191" s="197" t="s">
        <v>1786</v>
      </c>
      <c r="D191" s="197" t="s">
        <v>1785</v>
      </c>
      <c r="G191" s="197" t="s">
        <v>1785</v>
      </c>
      <c r="H191" s="197" t="s">
        <v>2194</v>
      </c>
    </row>
    <row r="192" spans="1:8" ht="15">
      <c r="A192" s="197">
        <v>104</v>
      </c>
      <c r="B192" s="197" t="s">
        <v>1787</v>
      </c>
      <c r="C192" s="197" t="s">
        <v>1788</v>
      </c>
      <c r="D192" s="197" t="s">
        <v>1787</v>
      </c>
      <c r="G192" s="197" t="s">
        <v>1787</v>
      </c>
      <c r="H192" s="197" t="s">
        <v>570</v>
      </c>
    </row>
    <row r="193" spans="1:8" ht="15">
      <c r="A193" s="197">
        <v>108</v>
      </c>
      <c r="B193" s="197" t="s">
        <v>1789</v>
      </c>
      <c r="C193" s="197" t="s">
        <v>1790</v>
      </c>
      <c r="D193" s="197" t="s">
        <v>1789</v>
      </c>
      <c r="G193" s="197" t="s">
        <v>1789</v>
      </c>
      <c r="H193" s="197" t="s">
        <v>1716</v>
      </c>
    </row>
    <row r="194" spans="1:8" ht="15">
      <c r="A194" s="197">
        <v>843</v>
      </c>
      <c r="B194" s="197" t="s">
        <v>1791</v>
      </c>
      <c r="D194" s="197" t="s">
        <v>1791</v>
      </c>
      <c r="G194" s="197" t="s">
        <v>1791</v>
      </c>
      <c r="H194" s="197" t="s">
        <v>167</v>
      </c>
    </row>
    <row r="195" spans="1:8" ht="15">
      <c r="A195" s="197">
        <v>105</v>
      </c>
      <c r="B195" s="197" t="s">
        <v>717</v>
      </c>
      <c r="C195" s="197" t="s">
        <v>718</v>
      </c>
      <c r="D195" s="197" t="s">
        <v>717</v>
      </c>
      <c r="G195" s="197" t="s">
        <v>717</v>
      </c>
      <c r="H195" s="197" t="s">
        <v>1906</v>
      </c>
    </row>
    <row r="196" spans="1:8" ht="15">
      <c r="A196" s="197">
        <v>106</v>
      </c>
      <c r="B196" s="197" t="s">
        <v>1792</v>
      </c>
      <c r="C196" s="197" t="s">
        <v>1793</v>
      </c>
      <c r="D196" s="197" t="s">
        <v>1792</v>
      </c>
      <c r="G196" s="197" t="s">
        <v>1792</v>
      </c>
      <c r="H196" s="197" t="s">
        <v>457</v>
      </c>
    </row>
    <row r="197" spans="1:8" ht="15">
      <c r="A197" s="197">
        <v>107</v>
      </c>
      <c r="B197" s="197" t="s">
        <v>1794</v>
      </c>
      <c r="C197" s="197" t="s">
        <v>1795</v>
      </c>
      <c r="D197" s="197" t="s">
        <v>1794</v>
      </c>
      <c r="G197" s="197" t="s">
        <v>1794</v>
      </c>
      <c r="H197" s="197" t="s">
        <v>1912</v>
      </c>
    </row>
    <row r="198" spans="1:8" ht="15">
      <c r="A198" s="197">
        <v>681</v>
      </c>
      <c r="B198" s="197" t="s">
        <v>1796</v>
      </c>
      <c r="C198" s="197" t="s">
        <v>1797</v>
      </c>
      <c r="D198" s="197" t="s">
        <v>1796</v>
      </c>
      <c r="G198" s="197" t="s">
        <v>1796</v>
      </c>
      <c r="H198" s="197" t="s">
        <v>359</v>
      </c>
    </row>
    <row r="199" spans="1:8" ht="15">
      <c r="A199" s="197">
        <v>1035</v>
      </c>
      <c r="B199" s="197" t="s">
        <v>1798</v>
      </c>
      <c r="C199" s="197" t="s">
        <v>1799</v>
      </c>
      <c r="D199" s="197" t="s">
        <v>1798</v>
      </c>
      <c r="G199" s="197" t="s">
        <v>1798</v>
      </c>
      <c r="H199" s="197" t="s">
        <v>495</v>
      </c>
    </row>
    <row r="200" spans="1:8" ht="15">
      <c r="A200" s="197">
        <v>116</v>
      </c>
      <c r="B200" s="197" t="s">
        <v>1800</v>
      </c>
      <c r="D200" s="197" t="s">
        <v>1800</v>
      </c>
      <c r="G200" s="197" t="s">
        <v>1800</v>
      </c>
      <c r="H200" s="197" t="s">
        <v>2514</v>
      </c>
    </row>
    <row r="201" spans="1:8" ht="15">
      <c r="A201" s="197">
        <v>602</v>
      </c>
      <c r="B201" s="197" t="s">
        <v>1801</v>
      </c>
      <c r="C201" s="197" t="s">
        <v>1802</v>
      </c>
      <c r="D201" s="197" t="s">
        <v>1801</v>
      </c>
      <c r="G201" s="197" t="s">
        <v>1801</v>
      </c>
      <c r="H201" s="197" t="s">
        <v>187</v>
      </c>
    </row>
    <row r="202" spans="1:8" ht="15">
      <c r="A202" s="197">
        <v>110</v>
      </c>
      <c r="B202" s="197" t="s">
        <v>1803</v>
      </c>
      <c r="C202" s="197" t="s">
        <v>1804</v>
      </c>
      <c r="D202" s="197" t="s">
        <v>1803</v>
      </c>
      <c r="G202" s="197" t="s">
        <v>1803</v>
      </c>
      <c r="H202" s="197" t="s">
        <v>2142</v>
      </c>
    </row>
    <row r="203" spans="1:8" ht="15">
      <c r="A203" s="197">
        <v>244</v>
      </c>
      <c r="B203" s="197" t="s">
        <v>1805</v>
      </c>
      <c r="D203" s="197" t="s">
        <v>1805</v>
      </c>
      <c r="G203" s="197" t="s">
        <v>1805</v>
      </c>
      <c r="H203" s="197" t="s">
        <v>516</v>
      </c>
    </row>
    <row r="204" spans="1:8" ht="15">
      <c r="A204" s="197">
        <v>111</v>
      </c>
      <c r="B204" s="197" t="s">
        <v>719</v>
      </c>
      <c r="C204" s="197" t="s">
        <v>720</v>
      </c>
      <c r="D204" s="197" t="s">
        <v>719</v>
      </c>
      <c r="G204" s="197" t="s">
        <v>719</v>
      </c>
      <c r="H204" s="197" t="s">
        <v>2525</v>
      </c>
    </row>
    <row r="205" spans="1:8" ht="15">
      <c r="A205" s="197">
        <v>115</v>
      </c>
      <c r="B205" s="197" t="s">
        <v>1806</v>
      </c>
      <c r="C205" s="197" t="s">
        <v>1807</v>
      </c>
      <c r="D205" s="197" t="s">
        <v>1806</v>
      </c>
      <c r="G205" s="197" t="s">
        <v>1806</v>
      </c>
      <c r="H205" s="197" t="s">
        <v>572</v>
      </c>
    </row>
    <row r="206" spans="1:8" ht="15">
      <c r="A206" s="197">
        <v>1022</v>
      </c>
      <c r="B206" s="197" t="s">
        <v>1808</v>
      </c>
      <c r="C206" s="197" t="s">
        <v>1809</v>
      </c>
      <c r="D206" s="197" t="s">
        <v>1808</v>
      </c>
      <c r="G206" s="197" t="s">
        <v>1808</v>
      </c>
      <c r="H206" s="197" t="s">
        <v>224</v>
      </c>
    </row>
    <row r="207" spans="1:8" ht="15">
      <c r="A207" s="197">
        <v>1133</v>
      </c>
      <c r="B207" s="197" t="s">
        <v>1810</v>
      </c>
      <c r="C207" s="197" t="s">
        <v>1811</v>
      </c>
      <c r="D207" s="197" t="s">
        <v>1810</v>
      </c>
      <c r="G207" s="197" t="s">
        <v>1810</v>
      </c>
      <c r="H207" s="197" t="s">
        <v>2316</v>
      </c>
    </row>
    <row r="208" spans="1:8" ht="15">
      <c r="A208" s="197">
        <v>598</v>
      </c>
      <c r="B208" s="197" t="s">
        <v>1812</v>
      </c>
      <c r="C208" s="197" t="s">
        <v>1813</v>
      </c>
      <c r="D208" s="197" t="s">
        <v>1812</v>
      </c>
      <c r="G208" s="197" t="s">
        <v>1812</v>
      </c>
      <c r="H208" s="197" t="s">
        <v>1750</v>
      </c>
    </row>
    <row r="209" spans="1:8" ht="15">
      <c r="A209" s="197">
        <v>757</v>
      </c>
      <c r="B209" s="197" t="s">
        <v>1814</v>
      </c>
      <c r="D209" s="197" t="s">
        <v>1814</v>
      </c>
      <c r="G209" s="197" t="s">
        <v>1814</v>
      </c>
      <c r="H209" s="197" t="s">
        <v>1238</v>
      </c>
    </row>
    <row r="210" spans="1:8" ht="15">
      <c r="A210" s="197">
        <v>758</v>
      </c>
      <c r="B210" s="197" t="s">
        <v>1815</v>
      </c>
      <c r="D210" s="197" t="s">
        <v>1815</v>
      </c>
      <c r="G210" s="197" t="s">
        <v>1815</v>
      </c>
      <c r="H210" s="197" t="s">
        <v>2556</v>
      </c>
    </row>
    <row r="211" spans="1:8" ht="15">
      <c r="A211" s="197">
        <v>759</v>
      </c>
      <c r="B211" s="197" t="s">
        <v>1816</v>
      </c>
      <c r="C211" s="197" t="s">
        <v>1817</v>
      </c>
      <c r="D211" s="197" t="s">
        <v>1816</v>
      </c>
      <c r="G211" s="197" t="s">
        <v>1816</v>
      </c>
      <c r="H211" s="197" t="s">
        <v>697</v>
      </c>
    </row>
    <row r="212" spans="1:8" ht="15">
      <c r="A212" s="197">
        <v>118</v>
      </c>
      <c r="B212" s="197" t="s">
        <v>642</v>
      </c>
      <c r="C212" s="197" t="s">
        <v>1210</v>
      </c>
      <c r="D212" s="197" t="s">
        <v>642</v>
      </c>
      <c r="G212" s="197" t="s">
        <v>642</v>
      </c>
      <c r="H212" s="197" t="s">
        <v>2186</v>
      </c>
    </row>
    <row r="213" spans="1:8" ht="15">
      <c r="A213" s="197">
        <v>119</v>
      </c>
      <c r="B213" s="197" t="s">
        <v>1818</v>
      </c>
      <c r="C213" s="197" t="s">
        <v>1819</v>
      </c>
      <c r="D213" s="197" t="s">
        <v>1818</v>
      </c>
      <c r="G213" s="197" t="s">
        <v>1818</v>
      </c>
      <c r="H213" s="197" t="s">
        <v>1232</v>
      </c>
    </row>
    <row r="214" spans="1:8" ht="15">
      <c r="A214" s="197">
        <v>1028</v>
      </c>
      <c r="B214" s="197" t="s">
        <v>1820</v>
      </c>
      <c r="C214" s="197" t="s">
        <v>1821</v>
      </c>
      <c r="D214" s="197" t="s">
        <v>1820</v>
      </c>
      <c r="G214" s="197" t="s">
        <v>1820</v>
      </c>
      <c r="H214" s="197" t="s">
        <v>8</v>
      </c>
    </row>
    <row r="215" spans="1:8" ht="15">
      <c r="A215" s="197">
        <v>760</v>
      </c>
      <c r="B215" s="197" t="s">
        <v>1822</v>
      </c>
      <c r="C215" s="197" t="s">
        <v>1823</v>
      </c>
      <c r="D215" s="197" t="s">
        <v>1822</v>
      </c>
      <c r="G215" s="197" t="s">
        <v>1822</v>
      </c>
      <c r="H215" s="197" t="s">
        <v>1323</v>
      </c>
    </row>
    <row r="216" spans="1:8" ht="15">
      <c r="A216" s="197">
        <v>120</v>
      </c>
      <c r="B216" s="197" t="s">
        <v>625</v>
      </c>
      <c r="C216" s="197" t="s">
        <v>626</v>
      </c>
      <c r="D216" s="197" t="s">
        <v>625</v>
      </c>
      <c r="G216" s="197" t="s">
        <v>625</v>
      </c>
      <c r="H216" s="197" t="s">
        <v>2184</v>
      </c>
    </row>
    <row r="217" spans="1:8" ht="15">
      <c r="A217" s="197">
        <v>121</v>
      </c>
      <c r="B217" s="197" t="s">
        <v>1824</v>
      </c>
      <c r="C217" s="197" t="s">
        <v>1825</v>
      </c>
      <c r="D217" s="197" t="s">
        <v>1824</v>
      </c>
      <c r="G217" s="197" t="s">
        <v>1824</v>
      </c>
      <c r="H217" s="197" t="s">
        <v>1941</v>
      </c>
    </row>
    <row r="218" spans="1:8" ht="15">
      <c r="A218" s="197">
        <v>761</v>
      </c>
      <c r="B218" s="197" t="s">
        <v>1826</v>
      </c>
      <c r="C218" s="197" t="s">
        <v>1827</v>
      </c>
      <c r="D218" s="197" t="s">
        <v>1826</v>
      </c>
      <c r="G218" s="197" t="s">
        <v>1826</v>
      </c>
      <c r="H218" s="197" t="s">
        <v>2342</v>
      </c>
    </row>
    <row r="219" spans="1:8" ht="15">
      <c r="A219" s="197">
        <v>1027</v>
      </c>
      <c r="B219" s="197" t="s">
        <v>1828</v>
      </c>
      <c r="D219" s="197" t="s">
        <v>1828</v>
      </c>
      <c r="G219" s="197" t="s">
        <v>1828</v>
      </c>
      <c r="H219" s="197" t="s">
        <v>1231</v>
      </c>
    </row>
    <row r="220" spans="1:8" ht="15">
      <c r="A220" s="197">
        <v>122</v>
      </c>
      <c r="B220" s="197" t="s">
        <v>1829</v>
      </c>
      <c r="C220" s="197" t="s">
        <v>1830</v>
      </c>
      <c r="D220" s="197" t="s">
        <v>1829</v>
      </c>
      <c r="G220" s="197" t="s">
        <v>1829</v>
      </c>
      <c r="H220" s="197" t="s">
        <v>2451</v>
      </c>
    </row>
    <row r="221" spans="1:8" ht="15">
      <c r="A221" s="197">
        <v>762</v>
      </c>
      <c r="B221" s="197" t="s">
        <v>1831</v>
      </c>
      <c r="D221" s="197" t="s">
        <v>1831</v>
      </c>
      <c r="G221" s="197" t="s">
        <v>1831</v>
      </c>
      <c r="H221" s="197" t="s">
        <v>2444</v>
      </c>
    </row>
    <row r="222" spans="1:8" ht="15">
      <c r="A222" s="197">
        <v>636</v>
      </c>
      <c r="B222" s="197" t="s">
        <v>1832</v>
      </c>
      <c r="C222" s="197" t="s">
        <v>1833</v>
      </c>
      <c r="D222" s="197" t="s">
        <v>1832</v>
      </c>
      <c r="G222" s="197" t="s">
        <v>1832</v>
      </c>
      <c r="H222" s="197" t="s">
        <v>1845</v>
      </c>
    </row>
    <row r="223" spans="1:8" ht="15">
      <c r="A223" s="197">
        <v>763</v>
      </c>
      <c r="B223" s="197" t="s">
        <v>1834</v>
      </c>
      <c r="D223" s="197" t="s">
        <v>1834</v>
      </c>
      <c r="G223" s="197" t="s">
        <v>1834</v>
      </c>
      <c r="H223" s="197" t="s">
        <v>463</v>
      </c>
    </row>
    <row r="224" spans="1:8" ht="15">
      <c r="A224" s="197">
        <v>123</v>
      </c>
      <c r="B224" s="197" t="s">
        <v>1835</v>
      </c>
      <c r="D224" s="197" t="s">
        <v>1835</v>
      </c>
      <c r="G224" s="197" t="s">
        <v>1835</v>
      </c>
      <c r="H224" s="197" t="s">
        <v>2416</v>
      </c>
    </row>
    <row r="225" spans="1:8" ht="15">
      <c r="A225" s="197">
        <v>125</v>
      </c>
      <c r="B225" s="197" t="s">
        <v>1836</v>
      </c>
      <c r="C225" s="197" t="s">
        <v>1837</v>
      </c>
      <c r="D225" s="197" t="s">
        <v>1836</v>
      </c>
      <c r="G225" s="197" t="s">
        <v>1836</v>
      </c>
      <c r="H225" s="197" t="s">
        <v>2357</v>
      </c>
    </row>
    <row r="226" spans="1:8" ht="15">
      <c r="A226" s="197">
        <v>127</v>
      </c>
      <c r="B226" s="197" t="s">
        <v>1838</v>
      </c>
      <c r="D226" s="197" t="s">
        <v>1838</v>
      </c>
      <c r="G226" s="197" t="s">
        <v>1838</v>
      </c>
      <c r="H226" s="197" t="s">
        <v>437</v>
      </c>
    </row>
    <row r="227" spans="1:8" ht="15">
      <c r="A227" s="197">
        <v>764</v>
      </c>
      <c r="B227" s="197" t="s">
        <v>1839</v>
      </c>
      <c r="D227" s="197" t="s">
        <v>1839</v>
      </c>
      <c r="G227" s="197" t="s">
        <v>1839</v>
      </c>
      <c r="H227" s="197" t="s">
        <v>1287</v>
      </c>
    </row>
    <row r="228" spans="1:8" ht="15">
      <c r="A228" s="197">
        <v>765</v>
      </c>
      <c r="B228" s="197" t="s">
        <v>1840</v>
      </c>
      <c r="C228" s="197" t="s">
        <v>1841</v>
      </c>
      <c r="D228" s="197" t="s">
        <v>1840</v>
      </c>
      <c r="G228" s="197" t="s">
        <v>1840</v>
      </c>
      <c r="H228" s="197" t="s">
        <v>1288</v>
      </c>
    </row>
    <row r="229" spans="1:8" ht="15">
      <c r="A229" s="197">
        <v>766</v>
      </c>
      <c r="B229" s="197" t="s">
        <v>1842</v>
      </c>
      <c r="C229" s="197" t="s">
        <v>1843</v>
      </c>
      <c r="D229" s="197" t="s">
        <v>1842</v>
      </c>
      <c r="G229" s="197" t="s">
        <v>1842</v>
      </c>
      <c r="H229" s="197" t="s">
        <v>1714</v>
      </c>
    </row>
    <row r="230" spans="1:8" ht="15">
      <c r="A230" s="197">
        <v>124</v>
      </c>
      <c r="B230" s="197" t="s">
        <v>1844</v>
      </c>
      <c r="C230" s="197" t="s">
        <v>1845</v>
      </c>
      <c r="D230" s="197" t="s">
        <v>1844</v>
      </c>
      <c r="G230" s="197" t="s">
        <v>1844</v>
      </c>
      <c r="H230" s="197" t="s">
        <v>2254</v>
      </c>
    </row>
    <row r="231" spans="1:8" ht="15">
      <c r="A231" s="197">
        <v>767</v>
      </c>
      <c r="B231" s="197" t="s">
        <v>1846</v>
      </c>
      <c r="D231" s="197" t="s">
        <v>1846</v>
      </c>
      <c r="G231" s="197" t="s">
        <v>1846</v>
      </c>
      <c r="H231" s="197" t="s">
        <v>88</v>
      </c>
    </row>
    <row r="232" spans="1:8" ht="15">
      <c r="A232" s="197">
        <v>128</v>
      </c>
      <c r="B232" s="197" t="s">
        <v>1847</v>
      </c>
      <c r="C232" s="197" t="s">
        <v>1848</v>
      </c>
      <c r="D232" s="197" t="s">
        <v>1847</v>
      </c>
      <c r="G232" s="197" t="s">
        <v>1847</v>
      </c>
      <c r="H232" s="197" t="s">
        <v>433</v>
      </c>
    </row>
    <row r="233" spans="1:8" ht="15">
      <c r="A233" s="197">
        <v>674</v>
      </c>
      <c r="B233" s="197" t="s">
        <v>1849</v>
      </c>
      <c r="C233" s="197" t="s">
        <v>1850</v>
      </c>
      <c r="D233" s="197" t="s">
        <v>1849</v>
      </c>
      <c r="G233" s="197" t="s">
        <v>1849</v>
      </c>
      <c r="H233" s="197" t="s">
        <v>417</v>
      </c>
    </row>
    <row r="234" spans="1:8" ht="15">
      <c r="A234" s="197">
        <v>768</v>
      </c>
      <c r="B234" s="197" t="s">
        <v>1851</v>
      </c>
      <c r="D234" s="197" t="s">
        <v>1851</v>
      </c>
      <c r="G234" s="197" t="s">
        <v>1851</v>
      </c>
      <c r="H234" s="197" t="s">
        <v>2538</v>
      </c>
    </row>
    <row r="235" spans="1:8" ht="15">
      <c r="A235" s="197">
        <v>130</v>
      </c>
      <c r="B235" s="197" t="s">
        <v>1852</v>
      </c>
      <c r="C235" s="197" t="s">
        <v>1853</v>
      </c>
      <c r="D235" s="197" t="s">
        <v>1852</v>
      </c>
      <c r="G235" s="197" t="s">
        <v>1852</v>
      </c>
      <c r="H235" s="197" t="s">
        <v>149</v>
      </c>
    </row>
    <row r="236" spans="1:8" ht="15">
      <c r="A236" s="197">
        <v>769</v>
      </c>
      <c r="B236" s="197" t="s">
        <v>1854</v>
      </c>
      <c r="C236" s="197" t="s">
        <v>1855</v>
      </c>
      <c r="D236" s="197" t="s">
        <v>1854</v>
      </c>
      <c r="G236" s="197" t="s">
        <v>1854</v>
      </c>
      <c r="H236" s="197" t="s">
        <v>349</v>
      </c>
    </row>
    <row r="237" spans="1:8" ht="15">
      <c r="A237" s="197">
        <v>131</v>
      </c>
      <c r="B237" s="197" t="s">
        <v>643</v>
      </c>
      <c r="C237" s="197" t="s">
        <v>644</v>
      </c>
      <c r="D237" s="197" t="s">
        <v>643</v>
      </c>
      <c r="G237" s="197" t="s">
        <v>643</v>
      </c>
      <c r="H237" s="197" t="s">
        <v>2279</v>
      </c>
    </row>
    <row r="238" spans="1:8" ht="15">
      <c r="A238" s="197">
        <v>133</v>
      </c>
      <c r="B238" s="197" t="s">
        <v>1856</v>
      </c>
      <c r="C238" s="197" t="s">
        <v>1857</v>
      </c>
      <c r="D238" s="197" t="s">
        <v>1856</v>
      </c>
      <c r="G238" s="197" t="s">
        <v>1856</v>
      </c>
      <c r="H238" s="197" t="s">
        <v>1229</v>
      </c>
    </row>
    <row r="239" spans="1:8" ht="15">
      <c r="A239" s="197">
        <v>132</v>
      </c>
      <c r="B239" s="197" t="s">
        <v>1858</v>
      </c>
      <c r="C239" s="197" t="s">
        <v>1859</v>
      </c>
      <c r="D239" s="197" t="s">
        <v>1858</v>
      </c>
      <c r="G239" s="197" t="s">
        <v>1858</v>
      </c>
      <c r="H239" s="197" t="s">
        <v>1660</v>
      </c>
    </row>
    <row r="240" spans="1:8" ht="15">
      <c r="A240" s="197">
        <v>770</v>
      </c>
      <c r="B240" s="197" t="s">
        <v>1860</v>
      </c>
      <c r="C240" s="197" t="s">
        <v>1861</v>
      </c>
      <c r="D240" s="197" t="s">
        <v>1860</v>
      </c>
      <c r="G240" s="197" t="s">
        <v>1860</v>
      </c>
      <c r="H240" s="197" t="s">
        <v>1233</v>
      </c>
    </row>
    <row r="241" spans="1:8" ht="15">
      <c r="A241" s="197">
        <v>771</v>
      </c>
      <c r="B241" s="197" t="s">
        <v>1862</v>
      </c>
      <c r="C241" s="197" t="s">
        <v>1863</v>
      </c>
      <c r="D241" s="197" t="s">
        <v>1862</v>
      </c>
      <c r="G241" s="197" t="s">
        <v>1862</v>
      </c>
      <c r="H241" s="197" t="s">
        <v>2536</v>
      </c>
    </row>
    <row r="242" spans="1:8" ht="15">
      <c r="A242" s="197">
        <v>772</v>
      </c>
      <c r="B242" s="197" t="s">
        <v>1864</v>
      </c>
      <c r="C242" s="197" t="s">
        <v>1865</v>
      </c>
      <c r="D242" s="197" t="s">
        <v>1864</v>
      </c>
      <c r="G242" s="197" t="s">
        <v>1864</v>
      </c>
      <c r="H242" s="197" t="s">
        <v>94</v>
      </c>
    </row>
    <row r="243" spans="1:8" ht="15">
      <c r="A243" s="197">
        <v>673</v>
      </c>
      <c r="B243" s="197" t="s">
        <v>1866</v>
      </c>
      <c r="C243" s="197" t="s">
        <v>1867</v>
      </c>
      <c r="D243" s="197" t="s">
        <v>1866</v>
      </c>
      <c r="G243" s="197" t="s">
        <v>1866</v>
      </c>
      <c r="H243" s="197" t="s">
        <v>1285</v>
      </c>
    </row>
    <row r="244" spans="1:8" ht="15">
      <c r="A244" s="197">
        <v>135</v>
      </c>
      <c r="B244" s="197" t="s">
        <v>1868</v>
      </c>
      <c r="D244" s="197" t="s">
        <v>1868</v>
      </c>
      <c r="G244" s="197" t="s">
        <v>1868</v>
      </c>
      <c r="H244" s="197" t="s">
        <v>1865</v>
      </c>
    </row>
    <row r="245" spans="1:8" ht="15">
      <c r="A245" s="197">
        <v>134</v>
      </c>
      <c r="B245" s="197" t="s">
        <v>1869</v>
      </c>
      <c r="C245" s="197" t="s">
        <v>816</v>
      </c>
      <c r="D245" s="197" t="s">
        <v>1869</v>
      </c>
      <c r="G245" s="197" t="s">
        <v>1869</v>
      </c>
      <c r="H245" s="197" t="s">
        <v>2144</v>
      </c>
    </row>
    <row r="246" spans="1:8" ht="15">
      <c r="A246" s="197">
        <v>1029</v>
      </c>
      <c r="B246" s="197" t="s">
        <v>1870</v>
      </c>
      <c r="C246" s="197" t="s">
        <v>1871</v>
      </c>
      <c r="D246" s="197" t="s">
        <v>1870</v>
      </c>
      <c r="G246" s="197" t="s">
        <v>1870</v>
      </c>
      <c r="H246" s="197" t="s">
        <v>1272</v>
      </c>
    </row>
    <row r="247" spans="1:8" ht="15">
      <c r="A247" s="197">
        <v>608</v>
      </c>
      <c r="B247" s="197" t="s">
        <v>1872</v>
      </c>
      <c r="C247" s="197" t="s">
        <v>1873</v>
      </c>
      <c r="D247" s="197" t="s">
        <v>1872</v>
      </c>
      <c r="G247" s="197" t="s">
        <v>1872</v>
      </c>
      <c r="H247" s="197" t="s">
        <v>2527</v>
      </c>
    </row>
    <row r="248" spans="1:8" ht="15">
      <c r="A248" s="197">
        <v>138</v>
      </c>
      <c r="B248" s="197" t="s">
        <v>1874</v>
      </c>
      <c r="C248" s="197" t="s">
        <v>1875</v>
      </c>
      <c r="D248" s="197" t="s">
        <v>1874</v>
      </c>
      <c r="G248" s="197" t="s">
        <v>1874</v>
      </c>
      <c r="H248" s="197" t="s">
        <v>2004</v>
      </c>
    </row>
    <row r="249" spans="1:8" ht="15">
      <c r="A249" s="197">
        <v>773</v>
      </c>
      <c r="B249" s="197" t="s">
        <v>1876</v>
      </c>
      <c r="C249" s="197" t="s">
        <v>1877</v>
      </c>
      <c r="D249" s="197" t="s">
        <v>1876</v>
      </c>
      <c r="G249" s="197" t="s">
        <v>1876</v>
      </c>
      <c r="H249" s="197" t="s">
        <v>1614</v>
      </c>
    </row>
    <row r="250" spans="1:8" ht="15">
      <c r="A250" s="197">
        <v>774</v>
      </c>
      <c r="B250" s="197" t="s">
        <v>1878</v>
      </c>
      <c r="C250" s="197" t="s">
        <v>1879</v>
      </c>
      <c r="D250" s="197" t="s">
        <v>1878</v>
      </c>
      <c r="G250" s="197" t="s">
        <v>1878</v>
      </c>
      <c r="H250" s="197" t="s">
        <v>2289</v>
      </c>
    </row>
    <row r="251" spans="1:8" ht="15">
      <c r="A251" s="197">
        <v>775</v>
      </c>
      <c r="B251" s="197" t="s">
        <v>1880</v>
      </c>
      <c r="C251" s="197" t="s">
        <v>1881</v>
      </c>
      <c r="D251" s="197" t="s">
        <v>1880</v>
      </c>
      <c r="G251" s="197" t="s">
        <v>1880</v>
      </c>
      <c r="H251" s="197" t="s">
        <v>1560</v>
      </c>
    </row>
    <row r="252" spans="1:8" ht="15">
      <c r="A252" s="197">
        <v>776</v>
      </c>
      <c r="B252" s="197" t="s">
        <v>1882</v>
      </c>
      <c r="C252" s="197" t="s">
        <v>1883</v>
      </c>
      <c r="D252" s="197" t="s">
        <v>1882</v>
      </c>
      <c r="G252" s="197" t="s">
        <v>1882</v>
      </c>
      <c r="H252" s="197" t="s">
        <v>2202</v>
      </c>
    </row>
    <row r="253" spans="1:8" ht="15">
      <c r="A253" s="197">
        <v>777</v>
      </c>
      <c r="B253" s="197" t="s">
        <v>1884</v>
      </c>
      <c r="D253" s="197" t="s">
        <v>1884</v>
      </c>
      <c r="G253" s="197" t="s">
        <v>1884</v>
      </c>
      <c r="H253" s="197" t="s">
        <v>1623</v>
      </c>
    </row>
    <row r="254" spans="1:8" ht="15">
      <c r="A254" s="197">
        <v>588</v>
      </c>
      <c r="B254" s="197" t="s">
        <v>1885</v>
      </c>
      <c r="D254" s="197" t="s">
        <v>1885</v>
      </c>
      <c r="G254" s="197" t="s">
        <v>1885</v>
      </c>
      <c r="H254" s="197" t="s">
        <v>1497</v>
      </c>
    </row>
    <row r="255" spans="1:8" ht="15">
      <c r="A255" s="197">
        <v>697</v>
      </c>
      <c r="B255" s="197" t="s">
        <v>1886</v>
      </c>
      <c r="C255" s="197" t="s">
        <v>1887</v>
      </c>
      <c r="D255" s="197" t="s">
        <v>1886</v>
      </c>
      <c r="G255" s="197" t="s">
        <v>1886</v>
      </c>
      <c r="H255" s="197" t="s">
        <v>51</v>
      </c>
    </row>
    <row r="256" spans="1:8" ht="15">
      <c r="A256" s="197">
        <v>144</v>
      </c>
      <c r="B256" s="197" t="s">
        <v>1888</v>
      </c>
      <c r="D256" s="197" t="s">
        <v>1888</v>
      </c>
      <c r="G256" s="197" t="s">
        <v>1888</v>
      </c>
      <c r="H256" s="197" t="s">
        <v>695</v>
      </c>
    </row>
    <row r="257" spans="1:8" ht="15">
      <c r="A257" s="197">
        <v>137</v>
      </c>
      <c r="B257" s="197" t="s">
        <v>769</v>
      </c>
      <c r="C257" s="197" t="s">
        <v>770</v>
      </c>
      <c r="D257" s="197" t="s">
        <v>769</v>
      </c>
      <c r="G257" s="197" t="s">
        <v>769</v>
      </c>
      <c r="H257" s="197" t="s">
        <v>1620</v>
      </c>
    </row>
    <row r="258" spans="1:8" ht="15">
      <c r="A258" s="197">
        <v>1036</v>
      </c>
      <c r="B258" s="197" t="s">
        <v>1889</v>
      </c>
      <c r="D258" s="197" t="s">
        <v>1889</v>
      </c>
      <c r="G258" s="197" t="s">
        <v>1889</v>
      </c>
      <c r="H258" s="197" t="s">
        <v>1955</v>
      </c>
    </row>
    <row r="259" spans="1:8" ht="15">
      <c r="A259" s="197">
        <v>146</v>
      </c>
      <c r="B259" s="197" t="s">
        <v>765</v>
      </c>
      <c r="C259" s="197" t="s">
        <v>1231</v>
      </c>
      <c r="D259" s="197" t="s">
        <v>765</v>
      </c>
      <c r="G259" s="197" t="s">
        <v>765</v>
      </c>
      <c r="H259" s="197" t="s">
        <v>1799</v>
      </c>
    </row>
    <row r="260" spans="1:8" ht="15">
      <c r="A260" s="197">
        <v>145</v>
      </c>
      <c r="B260" s="197" t="s">
        <v>1890</v>
      </c>
      <c r="C260" s="197" t="s">
        <v>1891</v>
      </c>
      <c r="D260" s="197" t="s">
        <v>1890</v>
      </c>
      <c r="G260" s="197" t="s">
        <v>1890</v>
      </c>
      <c r="H260" s="197" t="s">
        <v>454</v>
      </c>
    </row>
    <row r="261" spans="1:8" ht="15">
      <c r="A261" s="197">
        <v>147</v>
      </c>
      <c r="B261" s="197" t="s">
        <v>721</v>
      </c>
      <c r="C261" s="197" t="s">
        <v>1214</v>
      </c>
      <c r="D261" s="197" t="s">
        <v>721</v>
      </c>
      <c r="G261" s="197" t="s">
        <v>721</v>
      </c>
      <c r="H261" s="197" t="s">
        <v>1951</v>
      </c>
    </row>
    <row r="262" spans="1:8" ht="15">
      <c r="A262" s="197">
        <v>1106</v>
      </c>
      <c r="B262" s="197" t="s">
        <v>1892</v>
      </c>
      <c r="D262" s="197" t="s">
        <v>1892</v>
      </c>
      <c r="G262" s="197" t="s">
        <v>1892</v>
      </c>
      <c r="H262" s="197" t="s">
        <v>264</v>
      </c>
    </row>
    <row r="263" spans="1:8" ht="15">
      <c r="A263" s="197">
        <v>778</v>
      </c>
      <c r="B263" s="197" t="s">
        <v>1893</v>
      </c>
      <c r="D263" s="197" t="s">
        <v>1893</v>
      </c>
      <c r="G263" s="197" t="s">
        <v>1893</v>
      </c>
      <c r="H263" s="197" t="s">
        <v>471</v>
      </c>
    </row>
    <row r="264" spans="1:8" ht="15">
      <c r="A264" s="197">
        <v>148</v>
      </c>
      <c r="B264" s="197" t="s">
        <v>689</v>
      </c>
      <c r="C264" s="197" t="s">
        <v>690</v>
      </c>
      <c r="D264" s="197" t="s">
        <v>689</v>
      </c>
      <c r="G264" s="197" t="s">
        <v>689</v>
      </c>
      <c r="H264" s="197" t="s">
        <v>1914</v>
      </c>
    </row>
    <row r="265" spans="1:8" ht="15">
      <c r="A265" s="197">
        <v>150</v>
      </c>
      <c r="B265" s="197" t="s">
        <v>1894</v>
      </c>
      <c r="C265" s="197" t="s">
        <v>1895</v>
      </c>
      <c r="D265" s="197" t="s">
        <v>1894</v>
      </c>
      <c r="G265" s="197" t="s">
        <v>1894</v>
      </c>
      <c r="H265" s="197" t="s">
        <v>2017</v>
      </c>
    </row>
    <row r="266" spans="1:8" ht="15">
      <c r="A266" s="197">
        <v>151</v>
      </c>
      <c r="B266" s="197" t="s">
        <v>1896</v>
      </c>
      <c r="C266" s="197" t="s">
        <v>1897</v>
      </c>
      <c r="D266" s="197" t="s">
        <v>1896</v>
      </c>
      <c r="G266" s="197" t="s">
        <v>1896</v>
      </c>
      <c r="H266" s="197" t="s">
        <v>369</v>
      </c>
    </row>
    <row r="267" spans="1:8" ht="15">
      <c r="A267" s="197">
        <v>779</v>
      </c>
      <c r="B267" s="197" t="s">
        <v>1898</v>
      </c>
      <c r="C267" s="197" t="s">
        <v>1899</v>
      </c>
      <c r="D267" s="197" t="s">
        <v>1898</v>
      </c>
      <c r="G267" s="197" t="s">
        <v>1898</v>
      </c>
      <c r="H267" s="197" t="s">
        <v>185</v>
      </c>
    </row>
    <row r="268" spans="1:8" ht="15">
      <c r="A268" s="197">
        <v>152</v>
      </c>
      <c r="B268" s="197" t="s">
        <v>1900</v>
      </c>
      <c r="C268" s="197" t="s">
        <v>1901</v>
      </c>
      <c r="D268" s="197" t="s">
        <v>1900</v>
      </c>
      <c r="G268" s="197" t="s">
        <v>1900</v>
      </c>
      <c r="H268" s="197" t="s">
        <v>2408</v>
      </c>
    </row>
    <row r="269" spans="1:8" ht="15">
      <c r="A269" s="197">
        <v>653</v>
      </c>
      <c r="B269" s="197" t="s">
        <v>1902</v>
      </c>
      <c r="C269" s="197" t="s">
        <v>1903</v>
      </c>
      <c r="D269" s="197" t="s">
        <v>1902</v>
      </c>
      <c r="G269" s="197" t="s">
        <v>1902</v>
      </c>
      <c r="H269" s="197" t="s">
        <v>679</v>
      </c>
    </row>
    <row r="270" spans="1:8" ht="15">
      <c r="A270" s="197">
        <v>780</v>
      </c>
      <c r="B270" s="197" t="s">
        <v>1904</v>
      </c>
      <c r="D270" s="197" t="s">
        <v>1904</v>
      </c>
      <c r="G270" s="197" t="s">
        <v>1904</v>
      </c>
      <c r="H270" s="197" t="s">
        <v>1903</v>
      </c>
    </row>
    <row r="271" spans="1:8" ht="15">
      <c r="A271" s="197">
        <v>153</v>
      </c>
      <c r="B271" s="197" t="s">
        <v>1905</v>
      </c>
      <c r="C271" s="197" t="s">
        <v>1906</v>
      </c>
      <c r="D271" s="197" t="s">
        <v>1905</v>
      </c>
      <c r="G271" s="197" t="s">
        <v>1905</v>
      </c>
      <c r="H271" s="197" t="s">
        <v>2085</v>
      </c>
    </row>
    <row r="272" spans="1:8" ht="15">
      <c r="A272" s="197">
        <v>1045</v>
      </c>
      <c r="B272" s="197" t="s">
        <v>1907</v>
      </c>
      <c r="C272" s="197" t="s">
        <v>1908</v>
      </c>
      <c r="D272" s="197" t="s">
        <v>1907</v>
      </c>
      <c r="G272" s="197" t="s">
        <v>1907</v>
      </c>
      <c r="H272" s="197" t="s">
        <v>1654</v>
      </c>
    </row>
    <row r="273" spans="1:8" ht="15">
      <c r="A273" s="197">
        <v>154</v>
      </c>
      <c r="B273" s="197" t="s">
        <v>1909</v>
      </c>
      <c r="C273" s="197" t="s">
        <v>1910</v>
      </c>
      <c r="D273" s="197" t="s">
        <v>1909</v>
      </c>
      <c r="G273" s="197" t="s">
        <v>1909</v>
      </c>
      <c r="H273" s="197" t="s">
        <v>333</v>
      </c>
    </row>
    <row r="274" spans="1:8" ht="15">
      <c r="A274" s="197">
        <v>155</v>
      </c>
      <c r="B274" s="197" t="s">
        <v>1911</v>
      </c>
      <c r="C274" s="197" t="s">
        <v>1912</v>
      </c>
      <c r="D274" s="197" t="s">
        <v>1911</v>
      </c>
      <c r="G274" s="197" t="s">
        <v>1911</v>
      </c>
      <c r="H274" s="197" t="s">
        <v>1968</v>
      </c>
    </row>
    <row r="275" spans="1:8" ht="15">
      <c r="A275" s="197">
        <v>156</v>
      </c>
      <c r="B275" s="197" t="s">
        <v>1913</v>
      </c>
      <c r="C275" s="197" t="s">
        <v>1914</v>
      </c>
      <c r="D275" s="197" t="s">
        <v>1913</v>
      </c>
      <c r="G275" s="197" t="s">
        <v>1913</v>
      </c>
      <c r="H275" s="197" t="s">
        <v>2029</v>
      </c>
    </row>
    <row r="276" spans="1:8" ht="15">
      <c r="A276" s="197">
        <v>157</v>
      </c>
      <c r="B276" s="197" t="s">
        <v>1915</v>
      </c>
      <c r="C276" s="197" t="s">
        <v>1916</v>
      </c>
      <c r="D276" s="197" t="s">
        <v>1915</v>
      </c>
      <c r="G276" s="197" t="s">
        <v>1915</v>
      </c>
      <c r="H276" s="197" t="s">
        <v>2180</v>
      </c>
    </row>
    <row r="277" spans="1:8" ht="15">
      <c r="A277" s="197">
        <v>158</v>
      </c>
      <c r="B277" s="197" t="s">
        <v>1917</v>
      </c>
      <c r="C277" s="197" t="s">
        <v>1918</v>
      </c>
      <c r="D277" s="197" t="s">
        <v>1917</v>
      </c>
      <c r="G277" s="197" t="s">
        <v>1917</v>
      </c>
      <c r="H277" s="197" t="s">
        <v>1201</v>
      </c>
    </row>
    <row r="278" spans="1:8" ht="15">
      <c r="A278" s="197">
        <v>1044</v>
      </c>
      <c r="B278" s="197" t="s">
        <v>1919</v>
      </c>
      <c r="D278" s="197" t="s">
        <v>1919</v>
      </c>
      <c r="G278" s="197" t="s">
        <v>1919</v>
      </c>
      <c r="H278" s="197" t="s">
        <v>2392</v>
      </c>
    </row>
    <row r="279" spans="1:8" ht="15">
      <c r="A279" s="197">
        <v>781</v>
      </c>
      <c r="B279" s="197" t="s">
        <v>1920</v>
      </c>
      <c r="D279" s="197" t="s">
        <v>1920</v>
      </c>
      <c r="G279" s="197" t="s">
        <v>1920</v>
      </c>
      <c r="H279" s="197" t="s">
        <v>128</v>
      </c>
    </row>
    <row r="280" spans="1:8" ht="15">
      <c r="A280" s="197">
        <v>159</v>
      </c>
      <c r="B280" s="197" t="s">
        <v>1307</v>
      </c>
      <c r="C280" s="197" t="s">
        <v>1308</v>
      </c>
      <c r="D280" s="197" t="s">
        <v>1307</v>
      </c>
      <c r="G280" s="197" t="s">
        <v>1307</v>
      </c>
      <c r="H280" s="197" t="s">
        <v>2078</v>
      </c>
    </row>
    <row r="281" spans="1:8" ht="15">
      <c r="A281" s="197">
        <v>160</v>
      </c>
      <c r="B281" s="197" t="s">
        <v>629</v>
      </c>
      <c r="C281" s="197" t="s">
        <v>630</v>
      </c>
      <c r="D281" s="197" t="s">
        <v>629</v>
      </c>
      <c r="G281" s="197" t="s">
        <v>629</v>
      </c>
      <c r="H281" s="197" t="s">
        <v>1703</v>
      </c>
    </row>
    <row r="282" spans="1:8" ht="15">
      <c r="A282" s="197">
        <v>161</v>
      </c>
      <c r="B282" s="197" t="s">
        <v>1921</v>
      </c>
      <c r="C282" s="197" t="s">
        <v>1922</v>
      </c>
      <c r="D282" s="197" t="s">
        <v>1921</v>
      </c>
      <c r="G282" s="197" t="s">
        <v>1921</v>
      </c>
      <c r="H282" s="197" t="s">
        <v>2504</v>
      </c>
    </row>
    <row r="283" spans="1:8" ht="15">
      <c r="A283" s="197">
        <v>1109</v>
      </c>
      <c r="B283" s="197" t="s">
        <v>1923</v>
      </c>
      <c r="C283" s="197" t="s">
        <v>1924</v>
      </c>
      <c r="D283" s="197" t="s">
        <v>1923</v>
      </c>
      <c r="G283" s="197" t="s">
        <v>1923</v>
      </c>
      <c r="H283" s="197" t="s">
        <v>1953</v>
      </c>
    </row>
    <row r="284" spans="1:8" ht="15">
      <c r="A284" s="197">
        <v>1013</v>
      </c>
      <c r="B284" s="197" t="s">
        <v>1925</v>
      </c>
      <c r="C284" s="197" t="s">
        <v>1926</v>
      </c>
      <c r="D284" s="197" t="s">
        <v>1925</v>
      </c>
      <c r="G284" s="197" t="s">
        <v>1925</v>
      </c>
      <c r="H284" s="197" t="s">
        <v>99</v>
      </c>
    </row>
    <row r="285" spans="1:8" ht="15">
      <c r="A285" s="197">
        <v>162</v>
      </c>
      <c r="B285" s="197" t="s">
        <v>1927</v>
      </c>
      <c r="C285" s="197" t="s">
        <v>1928</v>
      </c>
      <c r="D285" s="197" t="s">
        <v>1927</v>
      </c>
      <c r="G285" s="197" t="s">
        <v>1927</v>
      </c>
      <c r="H285" s="197" t="s">
        <v>178</v>
      </c>
    </row>
    <row r="286" spans="1:8" ht="15">
      <c r="A286" s="197">
        <v>1023</v>
      </c>
      <c r="B286" s="197" t="s">
        <v>1929</v>
      </c>
      <c r="C286" s="197" t="s">
        <v>1930</v>
      </c>
      <c r="D286" s="197" t="s">
        <v>1929</v>
      </c>
      <c r="G286" s="197" t="s">
        <v>1929</v>
      </c>
      <c r="H286" s="197" t="s">
        <v>2027</v>
      </c>
    </row>
    <row r="287" spans="1:8" ht="15">
      <c r="A287" s="197">
        <v>782</v>
      </c>
      <c r="B287" s="197" t="s">
        <v>1931</v>
      </c>
      <c r="C287" s="197" t="s">
        <v>1932</v>
      </c>
      <c r="D287" s="197" t="s">
        <v>1931</v>
      </c>
      <c r="G287" s="197" t="s">
        <v>1931</v>
      </c>
      <c r="H287" s="197" t="s">
        <v>435</v>
      </c>
    </row>
    <row r="288" spans="1:8" ht="15">
      <c r="A288" s="197">
        <v>163</v>
      </c>
      <c r="B288" s="197" t="s">
        <v>1933</v>
      </c>
      <c r="D288" s="197" t="s">
        <v>1933</v>
      </c>
      <c r="G288" s="197" t="s">
        <v>1933</v>
      </c>
      <c r="H288" s="197" t="s">
        <v>367</v>
      </c>
    </row>
    <row r="289" spans="1:8" ht="15">
      <c r="A289" s="197">
        <v>1001</v>
      </c>
      <c r="B289" s="197" t="s">
        <v>1934</v>
      </c>
      <c r="D289" s="197" t="s">
        <v>1934</v>
      </c>
      <c r="G289" s="197" t="s">
        <v>1934</v>
      </c>
      <c r="H289" s="197" t="s">
        <v>1318</v>
      </c>
    </row>
    <row r="290" spans="1:8" ht="15">
      <c r="A290" s="197">
        <v>1000</v>
      </c>
      <c r="B290" s="197" t="s">
        <v>1935</v>
      </c>
      <c r="C290" s="197" t="s">
        <v>1936</v>
      </c>
      <c r="D290" s="197" t="s">
        <v>1935</v>
      </c>
      <c r="G290" s="197" t="s">
        <v>1935</v>
      </c>
      <c r="H290" s="197" t="s">
        <v>214</v>
      </c>
    </row>
    <row r="291" spans="1:8" ht="15">
      <c r="A291" s="197">
        <v>671</v>
      </c>
      <c r="B291" s="197" t="s">
        <v>1937</v>
      </c>
      <c r="C291" s="197" t="s">
        <v>1938</v>
      </c>
      <c r="D291" s="197" t="s">
        <v>1937</v>
      </c>
      <c r="G291" s="197" t="s">
        <v>1937</v>
      </c>
      <c r="H291" s="197" t="s">
        <v>2326</v>
      </c>
    </row>
    <row r="292" spans="1:8" ht="15">
      <c r="A292" s="197">
        <v>999</v>
      </c>
      <c r="B292" s="197" t="s">
        <v>1939</v>
      </c>
      <c r="D292" s="197" t="s">
        <v>1939</v>
      </c>
      <c r="G292" s="197" t="s">
        <v>1939</v>
      </c>
      <c r="H292" s="197" t="s">
        <v>1220</v>
      </c>
    </row>
    <row r="293" spans="1:8" ht="15">
      <c r="A293" s="197">
        <v>783</v>
      </c>
      <c r="B293" s="197" t="s">
        <v>1940</v>
      </c>
      <c r="C293" s="197" t="s">
        <v>1941</v>
      </c>
      <c r="D293" s="197" t="s">
        <v>1940</v>
      </c>
      <c r="G293" s="197" t="s">
        <v>1940</v>
      </c>
      <c r="H293" s="197" t="s">
        <v>580</v>
      </c>
    </row>
    <row r="294" spans="1:8" ht="15">
      <c r="A294" s="197">
        <v>165</v>
      </c>
      <c r="B294" s="197" t="s">
        <v>1942</v>
      </c>
      <c r="C294" s="197" t="s">
        <v>1943</v>
      </c>
      <c r="D294" s="197" t="s">
        <v>1942</v>
      </c>
      <c r="G294" s="197" t="s">
        <v>1942</v>
      </c>
      <c r="H294" s="197" t="s">
        <v>806</v>
      </c>
    </row>
    <row r="295" spans="1:8" ht="15">
      <c r="A295" s="197">
        <v>164</v>
      </c>
      <c r="B295" s="197" t="s">
        <v>1944</v>
      </c>
      <c r="C295" s="197" t="s">
        <v>1945</v>
      </c>
      <c r="D295" s="197" t="s">
        <v>1944</v>
      </c>
      <c r="G295" s="197" t="s">
        <v>1944</v>
      </c>
      <c r="H295" s="197" t="s">
        <v>1503</v>
      </c>
    </row>
    <row r="296" spans="1:8" ht="15">
      <c r="A296" s="197">
        <v>994</v>
      </c>
      <c r="B296" s="197" t="s">
        <v>1946</v>
      </c>
      <c r="D296" s="197" t="s">
        <v>1946</v>
      </c>
      <c r="G296" s="197" t="s">
        <v>1946</v>
      </c>
      <c r="H296" s="197" t="s">
        <v>1268</v>
      </c>
    </row>
    <row r="297" spans="1:8" ht="15">
      <c r="A297" s="197">
        <v>784</v>
      </c>
      <c r="B297" s="197" t="s">
        <v>1947</v>
      </c>
      <c r="C297" s="197" t="s">
        <v>1948</v>
      </c>
      <c r="D297" s="197" t="s">
        <v>1947</v>
      </c>
      <c r="G297" s="197" t="s">
        <v>1947</v>
      </c>
      <c r="H297" s="197" t="s">
        <v>2446</v>
      </c>
    </row>
    <row r="298" spans="1:8" ht="15">
      <c r="A298" s="197">
        <v>785</v>
      </c>
      <c r="B298" s="197" t="s">
        <v>1949</v>
      </c>
      <c r="D298" s="197" t="s">
        <v>1949</v>
      </c>
      <c r="G298" s="197" t="s">
        <v>1949</v>
      </c>
      <c r="H298" s="197" t="s">
        <v>1668</v>
      </c>
    </row>
    <row r="299" spans="1:8" ht="15">
      <c r="A299" s="197">
        <v>166</v>
      </c>
      <c r="B299" s="197" t="s">
        <v>1950</v>
      </c>
      <c r="C299" s="197" t="s">
        <v>1951</v>
      </c>
      <c r="D299" s="197" t="s">
        <v>1950</v>
      </c>
      <c r="G299" s="197" t="s">
        <v>1950</v>
      </c>
      <c r="H299" s="197" t="s">
        <v>122</v>
      </c>
    </row>
    <row r="300" spans="1:8" ht="15">
      <c r="A300" s="197">
        <v>243</v>
      </c>
      <c r="B300" s="197" t="s">
        <v>1952</v>
      </c>
      <c r="C300" s="197" t="s">
        <v>1953</v>
      </c>
      <c r="D300" s="197" t="s">
        <v>1952</v>
      </c>
      <c r="G300" s="197" t="s">
        <v>1952</v>
      </c>
      <c r="H300" s="197" t="s">
        <v>1879</v>
      </c>
    </row>
    <row r="301" spans="1:8" ht="15">
      <c r="A301" s="197">
        <v>786</v>
      </c>
      <c r="B301" s="197" t="s">
        <v>1954</v>
      </c>
      <c r="C301" s="197" t="s">
        <v>1955</v>
      </c>
      <c r="D301" s="197" t="s">
        <v>1954</v>
      </c>
      <c r="G301" s="197" t="s">
        <v>1954</v>
      </c>
      <c r="H301" s="197" t="s">
        <v>465</v>
      </c>
    </row>
    <row r="302" spans="1:8" ht="15">
      <c r="A302" s="197">
        <v>787</v>
      </c>
      <c r="B302" s="197" t="s">
        <v>1956</v>
      </c>
      <c r="D302" s="197" t="s">
        <v>1956</v>
      </c>
      <c r="G302" s="197" t="s">
        <v>1956</v>
      </c>
      <c r="H302" s="197" t="s">
        <v>486</v>
      </c>
    </row>
    <row r="303" spans="1:8" ht="15">
      <c r="A303" s="197">
        <v>168</v>
      </c>
      <c r="B303" s="197" t="s">
        <v>1957</v>
      </c>
      <c r="C303" s="197" t="s">
        <v>1958</v>
      </c>
      <c r="D303" s="197" t="s">
        <v>1957</v>
      </c>
      <c r="G303" s="197" t="s">
        <v>1957</v>
      </c>
      <c r="H303" s="197" t="s">
        <v>476</v>
      </c>
    </row>
    <row r="304" spans="1:8" ht="15">
      <c r="A304" s="197">
        <v>167</v>
      </c>
      <c r="B304" s="197" t="s">
        <v>647</v>
      </c>
      <c r="C304" s="197" t="s">
        <v>648</v>
      </c>
      <c r="D304" s="197" t="s">
        <v>647</v>
      </c>
      <c r="G304" s="197" t="s">
        <v>647</v>
      </c>
      <c r="H304" s="197" t="s">
        <v>1221</v>
      </c>
    </row>
    <row r="305" spans="1:8" ht="15">
      <c r="A305" s="197">
        <v>788</v>
      </c>
      <c r="B305" s="197" t="s">
        <v>1959</v>
      </c>
      <c r="D305" s="197" t="s">
        <v>1959</v>
      </c>
      <c r="G305" s="197" t="s">
        <v>1959</v>
      </c>
      <c r="H305" s="197" t="s">
        <v>1269</v>
      </c>
    </row>
    <row r="306" spans="1:8" ht="15">
      <c r="A306" s="197">
        <v>169</v>
      </c>
      <c r="B306" s="197" t="s">
        <v>1960</v>
      </c>
      <c r="C306" s="197" t="s">
        <v>1961</v>
      </c>
      <c r="D306" s="197" t="s">
        <v>1960</v>
      </c>
      <c r="G306" s="197" t="s">
        <v>1960</v>
      </c>
      <c r="H306" s="197" t="s">
        <v>508</v>
      </c>
    </row>
    <row r="307" spans="1:8" ht="15">
      <c r="A307" s="197">
        <v>170</v>
      </c>
      <c r="B307" s="197" t="s">
        <v>784</v>
      </c>
      <c r="C307" s="197" t="s">
        <v>1236</v>
      </c>
      <c r="D307" s="197" t="s">
        <v>784</v>
      </c>
      <c r="G307" s="197" t="s">
        <v>784</v>
      </c>
      <c r="H307" s="197" t="s">
        <v>1535</v>
      </c>
    </row>
    <row r="308" spans="1:8" ht="15">
      <c r="A308" s="197">
        <v>1011</v>
      </c>
      <c r="B308" s="197" t="s">
        <v>1962</v>
      </c>
      <c r="C308" s="197" t="s">
        <v>1963</v>
      </c>
      <c r="D308" s="197" t="s">
        <v>1962</v>
      </c>
      <c r="G308" s="197" t="s">
        <v>1962</v>
      </c>
      <c r="H308" s="197" t="s">
        <v>426</v>
      </c>
    </row>
    <row r="309" spans="1:8" ht="15">
      <c r="A309" s="197">
        <v>789</v>
      </c>
      <c r="B309" s="197" t="s">
        <v>1964</v>
      </c>
      <c r="C309" s="197" t="s">
        <v>1965</v>
      </c>
      <c r="D309" s="197" t="s">
        <v>1964</v>
      </c>
      <c r="G309" s="197" t="s">
        <v>1964</v>
      </c>
      <c r="H309" s="197" t="s">
        <v>1676</v>
      </c>
    </row>
    <row r="310" spans="1:8" ht="15">
      <c r="A310" s="197">
        <v>790</v>
      </c>
      <c r="B310" s="197" t="s">
        <v>1966</v>
      </c>
      <c r="D310" s="197" t="s">
        <v>1966</v>
      </c>
      <c r="G310" s="197" t="s">
        <v>1966</v>
      </c>
      <c r="H310" s="197" t="s">
        <v>1216</v>
      </c>
    </row>
    <row r="311" spans="1:8" ht="15">
      <c r="A311" s="197">
        <v>172</v>
      </c>
      <c r="B311" s="197" t="s">
        <v>1967</v>
      </c>
      <c r="C311" s="197" t="s">
        <v>1968</v>
      </c>
      <c r="D311" s="197" t="s">
        <v>1967</v>
      </c>
      <c r="G311" s="197" t="s">
        <v>1967</v>
      </c>
      <c r="H311" s="197" t="s">
        <v>467</v>
      </c>
    </row>
    <row r="312" spans="1:8" ht="15">
      <c r="A312" s="197">
        <v>171</v>
      </c>
      <c r="B312" s="197" t="s">
        <v>1969</v>
      </c>
      <c r="C312" s="197" t="s">
        <v>1970</v>
      </c>
      <c r="D312" s="197" t="s">
        <v>1969</v>
      </c>
      <c r="G312" s="197" t="s">
        <v>1969</v>
      </c>
      <c r="H312" s="197" t="s">
        <v>1691</v>
      </c>
    </row>
    <row r="313" spans="1:8" ht="15">
      <c r="A313" s="197">
        <v>310</v>
      </c>
      <c r="B313" s="197" t="s">
        <v>1971</v>
      </c>
      <c r="D313" s="197" t="s">
        <v>1971</v>
      </c>
      <c r="G313" s="197" t="s">
        <v>1971</v>
      </c>
      <c r="H313" s="197" t="s">
        <v>2073</v>
      </c>
    </row>
    <row r="314" spans="1:8" ht="15">
      <c r="A314" s="197">
        <v>173</v>
      </c>
      <c r="B314" s="197" t="s">
        <v>722</v>
      </c>
      <c r="C314" s="197" t="s">
        <v>723</v>
      </c>
      <c r="D314" s="197" t="s">
        <v>722</v>
      </c>
      <c r="G314" s="197" t="s">
        <v>722</v>
      </c>
      <c r="H314" s="197" t="s">
        <v>1224</v>
      </c>
    </row>
    <row r="315" spans="1:8" ht="15">
      <c r="A315" s="197">
        <v>309</v>
      </c>
      <c r="B315" s="197" t="s">
        <v>1972</v>
      </c>
      <c r="D315" s="197" t="s">
        <v>1972</v>
      </c>
      <c r="G315" s="197" t="s">
        <v>1972</v>
      </c>
      <c r="H315" s="197" t="s">
        <v>1241</v>
      </c>
    </row>
    <row r="316" spans="1:8" ht="15">
      <c r="A316" s="197">
        <v>1136</v>
      </c>
      <c r="B316" s="197" t="s">
        <v>1973</v>
      </c>
      <c r="D316" s="197" t="s">
        <v>1973</v>
      </c>
      <c r="G316" s="197" t="s">
        <v>1973</v>
      </c>
      <c r="H316" s="197" t="s">
        <v>226</v>
      </c>
    </row>
    <row r="317" spans="1:8" ht="15">
      <c r="A317" s="197">
        <v>45</v>
      </c>
      <c r="B317" s="197" t="s">
        <v>1974</v>
      </c>
      <c r="C317" s="197" t="s">
        <v>1975</v>
      </c>
      <c r="D317" s="197" t="s">
        <v>1974</v>
      </c>
      <c r="G317" s="197" t="s">
        <v>1974</v>
      </c>
      <c r="H317" s="197" t="s">
        <v>1771</v>
      </c>
    </row>
    <row r="318" spans="1:8" ht="15">
      <c r="A318" s="197">
        <v>791</v>
      </c>
      <c r="B318" s="197" t="s">
        <v>1976</v>
      </c>
      <c r="C318" s="197" t="s">
        <v>1977</v>
      </c>
      <c r="D318" s="197" t="s">
        <v>1976</v>
      </c>
      <c r="G318" s="197" t="s">
        <v>1976</v>
      </c>
      <c r="H318" s="197" t="s">
        <v>83</v>
      </c>
    </row>
    <row r="319" spans="1:8" ht="15">
      <c r="A319" s="197">
        <v>993</v>
      </c>
      <c r="B319" s="197" t="s">
        <v>1978</v>
      </c>
      <c r="C319" s="197" t="s">
        <v>1979</v>
      </c>
      <c r="D319" s="197" t="s">
        <v>1978</v>
      </c>
      <c r="G319" s="197" t="s">
        <v>1978</v>
      </c>
      <c r="H319" s="197" t="s">
        <v>1650</v>
      </c>
    </row>
    <row r="320" spans="1:8" ht="15">
      <c r="A320" s="197">
        <v>995</v>
      </c>
      <c r="B320" s="197" t="s">
        <v>1980</v>
      </c>
      <c r="D320" s="197" t="s">
        <v>1980</v>
      </c>
      <c r="G320" s="197" t="s">
        <v>1980</v>
      </c>
      <c r="H320" s="197" t="s">
        <v>419</v>
      </c>
    </row>
    <row r="321" spans="1:8" ht="15">
      <c r="A321" s="197">
        <v>174</v>
      </c>
      <c r="B321" s="197" t="s">
        <v>1981</v>
      </c>
      <c r="C321" s="197" t="s">
        <v>1982</v>
      </c>
      <c r="D321" s="197" t="s">
        <v>1981</v>
      </c>
      <c r="G321" s="197" t="s">
        <v>1981</v>
      </c>
      <c r="H321" s="197" t="s">
        <v>1850</v>
      </c>
    </row>
    <row r="322" spans="1:8" ht="15">
      <c r="A322" s="197">
        <v>1018</v>
      </c>
      <c r="B322" s="197" t="s">
        <v>1983</v>
      </c>
      <c r="D322" s="197" t="s">
        <v>1983</v>
      </c>
      <c r="G322" s="197" t="s">
        <v>1983</v>
      </c>
      <c r="H322" s="197" t="s">
        <v>2178</v>
      </c>
    </row>
    <row r="323" spans="1:8" ht="15">
      <c r="A323" s="197">
        <v>175</v>
      </c>
      <c r="B323" s="197" t="s">
        <v>1984</v>
      </c>
      <c r="C323" s="197" t="s">
        <v>1985</v>
      </c>
      <c r="D323" s="197" t="s">
        <v>1984</v>
      </c>
      <c r="G323" s="197" t="s">
        <v>1984</v>
      </c>
      <c r="H323" s="197" t="s">
        <v>2330</v>
      </c>
    </row>
    <row r="324" spans="1:8" ht="15">
      <c r="A324" s="197">
        <v>657</v>
      </c>
      <c r="B324" s="197" t="s">
        <v>1986</v>
      </c>
      <c r="C324" s="197" t="s">
        <v>1987</v>
      </c>
      <c r="D324" s="197" t="s">
        <v>1986</v>
      </c>
      <c r="G324" s="197" t="s">
        <v>1986</v>
      </c>
      <c r="H324" s="197" t="s">
        <v>196</v>
      </c>
    </row>
    <row r="325" spans="1:8" ht="15">
      <c r="A325" s="197">
        <v>658</v>
      </c>
      <c r="B325" s="197" t="s">
        <v>1988</v>
      </c>
      <c r="C325" s="197" t="s">
        <v>1989</v>
      </c>
      <c r="D325" s="197" t="s">
        <v>1988</v>
      </c>
      <c r="G325" s="197" t="s">
        <v>1988</v>
      </c>
      <c r="H325" s="197" t="s">
        <v>1552</v>
      </c>
    </row>
    <row r="326" spans="1:8" ht="15">
      <c r="A326" s="197">
        <v>571</v>
      </c>
      <c r="B326" s="197" t="s">
        <v>1990</v>
      </c>
      <c r="C326" s="197" t="s">
        <v>1991</v>
      </c>
      <c r="D326" s="197" t="s">
        <v>1990</v>
      </c>
      <c r="G326" s="197" t="s">
        <v>1990</v>
      </c>
      <c r="H326" s="197" t="s">
        <v>666</v>
      </c>
    </row>
    <row r="327" spans="1:8" ht="15">
      <c r="A327" s="197">
        <v>656</v>
      </c>
      <c r="B327" s="197" t="s">
        <v>1992</v>
      </c>
      <c r="C327" s="197" t="s">
        <v>1993</v>
      </c>
      <c r="D327" s="197" t="s">
        <v>1992</v>
      </c>
      <c r="G327" s="197" t="s">
        <v>1992</v>
      </c>
      <c r="H327" s="197" t="s">
        <v>759</v>
      </c>
    </row>
    <row r="328" spans="1:8" ht="15">
      <c r="A328" s="197">
        <v>659</v>
      </c>
      <c r="B328" s="197" t="s">
        <v>1994</v>
      </c>
      <c r="C328" s="197" t="s">
        <v>1995</v>
      </c>
      <c r="D328" s="197" t="s">
        <v>1994</v>
      </c>
      <c r="G328" s="197" t="s">
        <v>1994</v>
      </c>
      <c r="H328" s="197" t="s">
        <v>2470</v>
      </c>
    </row>
    <row r="329" spans="1:8" ht="15">
      <c r="A329" s="197">
        <v>176</v>
      </c>
      <c r="B329" s="197" t="s">
        <v>1996</v>
      </c>
      <c r="C329" s="197" t="s">
        <v>1997</v>
      </c>
      <c r="D329" s="197" t="s">
        <v>1996</v>
      </c>
      <c r="G329" s="197" t="s">
        <v>1996</v>
      </c>
      <c r="H329" s="197" t="s">
        <v>2245</v>
      </c>
    </row>
    <row r="330" spans="1:8" ht="15">
      <c r="A330" s="197">
        <v>177</v>
      </c>
      <c r="B330" s="197" t="s">
        <v>1998</v>
      </c>
      <c r="C330" s="197" t="s">
        <v>1999</v>
      </c>
      <c r="D330" s="197" t="s">
        <v>1998</v>
      </c>
      <c r="G330" s="197" t="s">
        <v>1998</v>
      </c>
      <c r="H330" s="197" t="s">
        <v>770</v>
      </c>
    </row>
    <row r="331" spans="1:8" ht="15">
      <c r="A331" s="197">
        <v>178</v>
      </c>
      <c r="B331" s="197" t="s">
        <v>2000</v>
      </c>
      <c r="D331" s="197" t="s">
        <v>2000</v>
      </c>
      <c r="G331" s="197" t="s">
        <v>2000</v>
      </c>
      <c r="H331" s="197" t="s">
        <v>1908</v>
      </c>
    </row>
    <row r="332" spans="1:8" ht="15">
      <c r="A332" s="197">
        <v>179</v>
      </c>
      <c r="B332" s="197" t="s">
        <v>2001</v>
      </c>
      <c r="C332" s="197" t="s">
        <v>2002</v>
      </c>
      <c r="D332" s="197" t="s">
        <v>2001</v>
      </c>
      <c r="G332" s="197" t="s">
        <v>2001</v>
      </c>
      <c r="H332" s="197" t="s">
        <v>1682</v>
      </c>
    </row>
    <row r="333" spans="1:8" ht="15">
      <c r="A333" s="197">
        <v>1017</v>
      </c>
      <c r="B333" s="197" t="s">
        <v>2003</v>
      </c>
      <c r="C333" s="197" t="s">
        <v>2004</v>
      </c>
      <c r="D333" s="197" t="s">
        <v>2003</v>
      </c>
      <c r="G333" s="197" t="s">
        <v>2003</v>
      </c>
      <c r="H333" s="197" t="s">
        <v>1788</v>
      </c>
    </row>
    <row r="334" spans="1:8" ht="15">
      <c r="A334" s="197">
        <v>184</v>
      </c>
      <c r="B334" s="197" t="s">
        <v>2005</v>
      </c>
      <c r="C334" s="197" t="s">
        <v>2006</v>
      </c>
      <c r="D334" s="197" t="s">
        <v>2005</v>
      </c>
      <c r="G334" s="197" t="s">
        <v>2005</v>
      </c>
      <c r="H334" s="197" t="s">
        <v>2310</v>
      </c>
    </row>
    <row r="335" spans="1:8" ht="15">
      <c r="A335" s="197">
        <v>180</v>
      </c>
      <c r="B335" s="197" t="s">
        <v>790</v>
      </c>
      <c r="C335" s="197" t="s">
        <v>791</v>
      </c>
      <c r="D335" s="197" t="s">
        <v>790</v>
      </c>
      <c r="G335" s="197" t="s">
        <v>790</v>
      </c>
      <c r="H335" s="197" t="s">
        <v>819</v>
      </c>
    </row>
    <row r="336" spans="1:8" ht="15">
      <c r="A336" s="197">
        <v>183</v>
      </c>
      <c r="B336" s="197" t="s">
        <v>792</v>
      </c>
      <c r="C336" s="197" t="s">
        <v>793</v>
      </c>
      <c r="D336" s="197" t="s">
        <v>792</v>
      </c>
      <c r="G336" s="197" t="s">
        <v>792</v>
      </c>
      <c r="H336" s="197" t="s">
        <v>112</v>
      </c>
    </row>
    <row r="337" spans="1:8" ht="15">
      <c r="A337" s="197">
        <v>182</v>
      </c>
      <c r="B337" s="197" t="s">
        <v>2007</v>
      </c>
      <c r="C337" s="197" t="s">
        <v>2008</v>
      </c>
      <c r="D337" s="197" t="s">
        <v>2007</v>
      </c>
      <c r="G337" s="197" t="s">
        <v>2007</v>
      </c>
      <c r="H337" s="197" t="s">
        <v>2438</v>
      </c>
    </row>
    <row r="338" spans="1:8" ht="15">
      <c r="A338" s="197">
        <v>1016</v>
      </c>
      <c r="B338" s="197" t="s">
        <v>2009</v>
      </c>
      <c r="C338" s="197" t="s">
        <v>2010</v>
      </c>
      <c r="D338" s="197" t="s">
        <v>2009</v>
      </c>
      <c r="G338" s="197" t="s">
        <v>2009</v>
      </c>
      <c r="H338" s="197" t="s">
        <v>1786</v>
      </c>
    </row>
    <row r="339" spans="1:8" ht="15">
      <c r="A339" s="197">
        <v>181</v>
      </c>
      <c r="B339" s="197" t="s">
        <v>2011</v>
      </c>
      <c r="C339" s="197" t="s">
        <v>2012</v>
      </c>
      <c r="D339" s="197" t="s">
        <v>2011</v>
      </c>
      <c r="G339" s="197" t="s">
        <v>2011</v>
      </c>
      <c r="H339" s="197" t="s">
        <v>491</v>
      </c>
    </row>
    <row r="340" spans="1:8" ht="15">
      <c r="A340" s="197">
        <v>1014</v>
      </c>
      <c r="B340" s="197" t="s">
        <v>2013</v>
      </c>
      <c r="C340" s="197" t="s">
        <v>2014</v>
      </c>
      <c r="D340" s="197" t="s">
        <v>2013</v>
      </c>
      <c r="G340" s="197" t="s">
        <v>2013</v>
      </c>
      <c r="H340" s="197" t="s">
        <v>566</v>
      </c>
    </row>
    <row r="341" spans="1:8" ht="15">
      <c r="A341" s="197">
        <v>792</v>
      </c>
      <c r="B341" s="197" t="s">
        <v>2015</v>
      </c>
      <c r="D341" s="197" t="s">
        <v>2015</v>
      </c>
      <c r="G341" s="197" t="s">
        <v>2015</v>
      </c>
      <c r="H341" s="197" t="s">
        <v>1881</v>
      </c>
    </row>
    <row r="342" spans="1:8" ht="15">
      <c r="A342" s="197">
        <v>793</v>
      </c>
      <c r="B342" s="197" t="s">
        <v>2016</v>
      </c>
      <c r="D342" s="197" t="s">
        <v>2016</v>
      </c>
      <c r="G342" s="197" t="s">
        <v>2016</v>
      </c>
      <c r="H342" s="197" t="s">
        <v>2265</v>
      </c>
    </row>
    <row r="343" spans="1:8" ht="15">
      <c r="A343" s="197">
        <v>550</v>
      </c>
      <c r="B343" s="197" t="s">
        <v>658</v>
      </c>
      <c r="C343" s="197" t="s">
        <v>2017</v>
      </c>
      <c r="D343" s="197" t="s">
        <v>658</v>
      </c>
      <c r="G343" s="197" t="s">
        <v>658</v>
      </c>
      <c r="H343" s="197" t="s">
        <v>1210</v>
      </c>
    </row>
    <row r="344" spans="1:8" ht="15">
      <c r="A344" s="197">
        <v>1004</v>
      </c>
      <c r="B344" s="197" t="s">
        <v>2018</v>
      </c>
      <c r="D344" s="197" t="s">
        <v>2018</v>
      </c>
      <c r="G344" s="197" t="s">
        <v>2018</v>
      </c>
      <c r="H344" s="197" t="s">
        <v>2430</v>
      </c>
    </row>
    <row r="345" spans="1:8" ht="15">
      <c r="A345" s="197">
        <v>185</v>
      </c>
      <c r="B345" s="197" t="s">
        <v>2019</v>
      </c>
      <c r="D345" s="197" t="s">
        <v>2019</v>
      </c>
      <c r="G345" s="197" t="s">
        <v>2019</v>
      </c>
      <c r="H345" s="197" t="s">
        <v>1863</v>
      </c>
    </row>
    <row r="346" spans="1:8" ht="15">
      <c r="A346" s="197">
        <v>604</v>
      </c>
      <c r="B346" s="197" t="s">
        <v>2020</v>
      </c>
      <c r="C346" s="197" t="s">
        <v>2021</v>
      </c>
      <c r="D346" s="197" t="s">
        <v>2020</v>
      </c>
      <c r="G346" s="197" t="s">
        <v>2020</v>
      </c>
      <c r="H346" s="197" t="s">
        <v>1817</v>
      </c>
    </row>
    <row r="347" spans="1:8" ht="15">
      <c r="A347" s="197">
        <v>794</v>
      </c>
      <c r="B347" s="197" t="s">
        <v>2022</v>
      </c>
      <c r="D347" s="197" t="s">
        <v>2022</v>
      </c>
      <c r="G347" s="197" t="s">
        <v>2022</v>
      </c>
      <c r="H347" s="197" t="s">
        <v>1895</v>
      </c>
    </row>
    <row r="348" spans="1:8" ht="15">
      <c r="A348" s="197">
        <v>186</v>
      </c>
      <c r="B348" s="197" t="s">
        <v>2023</v>
      </c>
      <c r="C348" s="197" t="s">
        <v>1241</v>
      </c>
      <c r="D348" s="197" t="s">
        <v>2023</v>
      </c>
      <c r="G348" s="197" t="s">
        <v>2023</v>
      </c>
      <c r="H348" s="197" t="s">
        <v>1211</v>
      </c>
    </row>
    <row r="349" spans="1:8" ht="15">
      <c r="A349" s="197">
        <v>795</v>
      </c>
      <c r="B349" s="197" t="s">
        <v>2024</v>
      </c>
      <c r="C349" s="197" t="s">
        <v>2025</v>
      </c>
      <c r="D349" s="197" t="s">
        <v>2024</v>
      </c>
      <c r="G349" s="197" t="s">
        <v>2024</v>
      </c>
      <c r="H349" s="197" t="s">
        <v>2420</v>
      </c>
    </row>
    <row r="350" spans="1:8" ht="15">
      <c r="A350" s="197">
        <v>188</v>
      </c>
      <c r="B350" s="197" t="s">
        <v>2026</v>
      </c>
      <c r="C350" s="197" t="s">
        <v>2027</v>
      </c>
      <c r="D350" s="197" t="s">
        <v>2026</v>
      </c>
      <c r="G350" s="197" t="s">
        <v>2026</v>
      </c>
      <c r="H350" s="197" t="s">
        <v>1214</v>
      </c>
    </row>
    <row r="351" spans="1:8" ht="15">
      <c r="A351" s="197">
        <v>796</v>
      </c>
      <c r="B351" s="197" t="s">
        <v>2028</v>
      </c>
      <c r="C351" s="197" t="s">
        <v>2029</v>
      </c>
      <c r="D351" s="197" t="s">
        <v>2028</v>
      </c>
      <c r="G351" s="197" t="s">
        <v>2028</v>
      </c>
      <c r="H351" s="197" t="s">
        <v>47</v>
      </c>
    </row>
    <row r="352" spans="1:8" ht="15">
      <c r="A352" s="197">
        <v>797</v>
      </c>
      <c r="B352" s="197" t="s">
        <v>2030</v>
      </c>
      <c r="C352" s="197" t="s">
        <v>2031</v>
      </c>
      <c r="D352" s="197" t="s">
        <v>2030</v>
      </c>
      <c r="G352" s="197" t="s">
        <v>2030</v>
      </c>
      <c r="H352" s="197" t="s">
        <v>351</v>
      </c>
    </row>
    <row r="353" spans="1:8" ht="15">
      <c r="A353" s="197">
        <v>668</v>
      </c>
      <c r="B353" s="197" t="s">
        <v>2032</v>
      </c>
      <c r="C353" s="197" t="s">
        <v>2033</v>
      </c>
      <c r="D353" s="197" t="s">
        <v>2032</v>
      </c>
      <c r="G353" s="197" t="s">
        <v>2032</v>
      </c>
      <c r="H353" s="197" t="s">
        <v>233</v>
      </c>
    </row>
    <row r="354" spans="1:8" ht="15">
      <c r="A354" s="197">
        <v>597</v>
      </c>
      <c r="B354" s="197" t="s">
        <v>2034</v>
      </c>
      <c r="C354" s="197" t="s">
        <v>2035</v>
      </c>
      <c r="D354" s="197" t="s">
        <v>2034</v>
      </c>
      <c r="G354" s="197" t="s">
        <v>2034</v>
      </c>
      <c r="H354" s="197" t="s">
        <v>1887</v>
      </c>
    </row>
    <row r="355" spans="1:8" ht="15">
      <c r="A355" s="197">
        <v>798</v>
      </c>
      <c r="B355" s="197" t="s">
        <v>2036</v>
      </c>
      <c r="C355" s="197" t="s">
        <v>2037</v>
      </c>
      <c r="D355" s="197" t="s">
        <v>2036</v>
      </c>
      <c r="G355" s="197" t="s">
        <v>2036</v>
      </c>
      <c r="H355" s="197" t="s">
        <v>1742</v>
      </c>
    </row>
    <row r="356" spans="1:8" ht="15">
      <c r="A356" s="197">
        <v>799</v>
      </c>
      <c r="B356" s="197" t="s">
        <v>2038</v>
      </c>
      <c r="D356" s="197" t="s">
        <v>2038</v>
      </c>
      <c r="G356" s="197" t="s">
        <v>2038</v>
      </c>
      <c r="H356" s="197" t="s">
        <v>2112</v>
      </c>
    </row>
    <row r="357" spans="1:8" ht="15">
      <c r="A357" s="197">
        <v>189</v>
      </c>
      <c r="B357" s="197" t="s">
        <v>724</v>
      </c>
      <c r="C357" s="197" t="s">
        <v>1215</v>
      </c>
      <c r="D357" s="197" t="s">
        <v>724</v>
      </c>
      <c r="G357" s="197" t="s">
        <v>724</v>
      </c>
      <c r="H357" s="197" t="s">
        <v>1918</v>
      </c>
    </row>
    <row r="358" spans="1:8" ht="15">
      <c r="A358" s="197">
        <v>800</v>
      </c>
      <c r="B358" s="197" t="s">
        <v>2039</v>
      </c>
      <c r="C358" s="197" t="s">
        <v>1217</v>
      </c>
      <c r="D358" s="197" t="s">
        <v>2039</v>
      </c>
      <c r="G358" s="197" t="s">
        <v>2039</v>
      </c>
      <c r="H358" s="197" t="s">
        <v>341</v>
      </c>
    </row>
    <row r="359" spans="1:8" ht="15">
      <c r="A359" s="197">
        <v>191</v>
      </c>
      <c r="B359" s="197" t="s">
        <v>727</v>
      </c>
      <c r="C359" s="197" t="s">
        <v>2040</v>
      </c>
      <c r="D359" s="197" t="s">
        <v>727</v>
      </c>
      <c r="G359" s="197" t="s">
        <v>727</v>
      </c>
      <c r="H359" s="197" t="s">
        <v>124</v>
      </c>
    </row>
    <row r="360" spans="1:8" ht="15">
      <c r="A360" s="197">
        <v>193</v>
      </c>
      <c r="B360" s="197" t="s">
        <v>2041</v>
      </c>
      <c r="C360" s="197" t="s">
        <v>1218</v>
      </c>
      <c r="D360" s="197" t="s">
        <v>2041</v>
      </c>
      <c r="G360" s="197" t="s">
        <v>2041</v>
      </c>
      <c r="H360" s="197" t="s">
        <v>2454</v>
      </c>
    </row>
    <row r="361" spans="1:8" ht="15">
      <c r="A361" s="197">
        <v>190</v>
      </c>
      <c r="B361" s="197" t="s">
        <v>726</v>
      </c>
      <c r="C361" s="197" t="s">
        <v>1216</v>
      </c>
      <c r="D361" s="197" t="s">
        <v>726</v>
      </c>
      <c r="G361" s="197" t="s">
        <v>726</v>
      </c>
      <c r="H361" s="197" t="s">
        <v>142</v>
      </c>
    </row>
    <row r="362" spans="1:8" ht="15">
      <c r="A362" s="197">
        <v>192</v>
      </c>
      <c r="B362" s="197" t="s">
        <v>729</v>
      </c>
      <c r="C362" s="197" t="s">
        <v>1219</v>
      </c>
      <c r="D362" s="197" t="s">
        <v>729</v>
      </c>
      <c r="G362" s="197" t="s">
        <v>729</v>
      </c>
      <c r="H362" s="197" t="s">
        <v>502</v>
      </c>
    </row>
    <row r="363" spans="1:8" ht="15">
      <c r="A363" s="197">
        <v>194</v>
      </c>
      <c r="B363" s="197" t="s">
        <v>1301</v>
      </c>
      <c r="C363" s="197" t="s">
        <v>1220</v>
      </c>
      <c r="D363" s="197" t="s">
        <v>1301</v>
      </c>
      <c r="G363" s="197" t="s">
        <v>1301</v>
      </c>
      <c r="H363" s="197" t="s">
        <v>1928</v>
      </c>
    </row>
    <row r="364" spans="1:8" ht="15">
      <c r="A364" s="197">
        <v>196</v>
      </c>
      <c r="B364" s="197" t="s">
        <v>2042</v>
      </c>
      <c r="C364" s="197" t="s">
        <v>2043</v>
      </c>
      <c r="D364" s="197" t="s">
        <v>2042</v>
      </c>
      <c r="G364" s="197" t="s">
        <v>2042</v>
      </c>
      <c r="H364" s="197" t="s">
        <v>557</v>
      </c>
    </row>
    <row r="365" spans="1:8" ht="15">
      <c r="A365" s="197">
        <v>630</v>
      </c>
      <c r="B365" s="197" t="s">
        <v>2044</v>
      </c>
      <c r="C365" s="197" t="s">
        <v>2045</v>
      </c>
      <c r="D365" s="197" t="s">
        <v>2044</v>
      </c>
      <c r="G365" s="197" t="s">
        <v>2044</v>
      </c>
      <c r="H365" s="197" t="s">
        <v>1698</v>
      </c>
    </row>
    <row r="366" spans="1:8" ht="15">
      <c r="A366" s="197">
        <v>651</v>
      </c>
      <c r="B366" s="197" t="s">
        <v>2046</v>
      </c>
      <c r="C366" s="197" t="s">
        <v>2047</v>
      </c>
      <c r="D366" s="197" t="s">
        <v>2046</v>
      </c>
      <c r="G366" s="197" t="s">
        <v>2046</v>
      </c>
      <c r="H366" s="197" t="s">
        <v>1219</v>
      </c>
    </row>
    <row r="367" spans="1:8" ht="15">
      <c r="A367" s="197">
        <v>201</v>
      </c>
      <c r="B367" s="197" t="s">
        <v>691</v>
      </c>
      <c r="C367" s="197" t="s">
        <v>2048</v>
      </c>
      <c r="D367" s="197" t="s">
        <v>691</v>
      </c>
      <c r="G367" s="197" t="s">
        <v>691</v>
      </c>
      <c r="H367" s="197" t="s">
        <v>1999</v>
      </c>
    </row>
    <row r="368" spans="1:8" ht="15">
      <c r="A368" s="197">
        <v>1006</v>
      </c>
      <c r="B368" s="197" t="s">
        <v>2049</v>
      </c>
      <c r="C368" s="197" t="s">
        <v>2050</v>
      </c>
      <c r="D368" s="197" t="s">
        <v>2049</v>
      </c>
      <c r="G368" s="197" t="s">
        <v>2049</v>
      </c>
      <c r="H368" s="197" t="s">
        <v>582</v>
      </c>
    </row>
    <row r="369" spans="1:8" ht="15">
      <c r="A369" s="197">
        <v>1005</v>
      </c>
      <c r="B369" s="197" t="s">
        <v>2051</v>
      </c>
      <c r="D369" s="197" t="s">
        <v>2051</v>
      </c>
      <c r="G369" s="197" t="s">
        <v>2051</v>
      </c>
      <c r="H369" s="197" t="s">
        <v>2025</v>
      </c>
    </row>
    <row r="370" spans="1:8" ht="15">
      <c r="A370" s="197">
        <v>202</v>
      </c>
      <c r="B370" s="197" t="s">
        <v>771</v>
      </c>
      <c r="C370" s="197" t="s">
        <v>2052</v>
      </c>
      <c r="D370" s="197" t="s">
        <v>771</v>
      </c>
      <c r="G370" s="197" t="s">
        <v>771</v>
      </c>
      <c r="H370" s="197" t="s">
        <v>2462</v>
      </c>
    </row>
    <row r="371" spans="1:8" ht="15">
      <c r="A371" s="197">
        <v>801</v>
      </c>
      <c r="B371" s="197" t="s">
        <v>2053</v>
      </c>
      <c r="D371" s="197" t="s">
        <v>2053</v>
      </c>
      <c r="G371" s="197" t="s">
        <v>2053</v>
      </c>
      <c r="H371" s="197" t="s">
        <v>2166</v>
      </c>
    </row>
    <row r="372" spans="1:8" ht="15">
      <c r="A372" s="197">
        <v>1141</v>
      </c>
      <c r="B372" s="197" t="s">
        <v>2054</v>
      </c>
      <c r="C372" s="197" t="s">
        <v>2055</v>
      </c>
      <c r="D372" s="197" t="s">
        <v>2054</v>
      </c>
      <c r="G372" s="197" t="s">
        <v>2054</v>
      </c>
      <c r="H372" s="197" t="s">
        <v>1205</v>
      </c>
    </row>
    <row r="373" spans="1:8" ht="15">
      <c r="A373" s="197">
        <v>206</v>
      </c>
      <c r="B373" s="197" t="s">
        <v>2056</v>
      </c>
      <c r="C373" s="197" t="s">
        <v>2057</v>
      </c>
      <c r="D373" s="197" t="s">
        <v>2056</v>
      </c>
      <c r="G373" s="197" t="s">
        <v>2056</v>
      </c>
      <c r="H373" s="197" t="s">
        <v>2554</v>
      </c>
    </row>
    <row r="374" spans="1:8" ht="15">
      <c r="A374" s="197">
        <v>802</v>
      </c>
      <c r="B374" s="197" t="s">
        <v>2058</v>
      </c>
      <c r="D374" s="197" t="s">
        <v>2058</v>
      </c>
      <c r="G374" s="197" t="s">
        <v>2058</v>
      </c>
      <c r="H374" s="197" t="s">
        <v>376</v>
      </c>
    </row>
    <row r="375" spans="1:8" ht="15">
      <c r="A375" s="197">
        <v>203</v>
      </c>
      <c r="B375" s="197" t="s">
        <v>2059</v>
      </c>
      <c r="C375" s="197" t="s">
        <v>2060</v>
      </c>
      <c r="D375" s="197" t="s">
        <v>2059</v>
      </c>
      <c r="G375" s="197" t="s">
        <v>2059</v>
      </c>
      <c r="H375" s="197" t="s">
        <v>1236</v>
      </c>
    </row>
    <row r="376" spans="1:8" ht="15">
      <c r="A376" s="197">
        <v>568</v>
      </c>
      <c r="B376" s="197" t="s">
        <v>2061</v>
      </c>
      <c r="D376" s="197" t="s">
        <v>2061</v>
      </c>
      <c r="G376" s="197" t="s">
        <v>2061</v>
      </c>
      <c r="H376" s="197" t="s">
        <v>157</v>
      </c>
    </row>
    <row r="377" spans="1:8" ht="15">
      <c r="A377" s="197">
        <v>204</v>
      </c>
      <c r="B377" s="197" t="s">
        <v>2062</v>
      </c>
      <c r="C377" s="197" t="s">
        <v>2063</v>
      </c>
      <c r="D377" s="197" t="s">
        <v>2062</v>
      </c>
      <c r="G377" s="197" t="s">
        <v>2062</v>
      </c>
      <c r="H377" s="197" t="s">
        <v>2442</v>
      </c>
    </row>
    <row r="378" spans="1:8" ht="15">
      <c r="A378" s="197">
        <v>205</v>
      </c>
      <c r="B378" s="197" t="s">
        <v>2064</v>
      </c>
      <c r="C378" s="197" t="s">
        <v>2065</v>
      </c>
      <c r="D378" s="197" t="s">
        <v>2064</v>
      </c>
      <c r="G378" s="197" t="s">
        <v>2064</v>
      </c>
      <c r="H378" s="197" t="s">
        <v>1662</v>
      </c>
    </row>
    <row r="379" spans="1:8" ht="15">
      <c r="A379" s="197">
        <v>660</v>
      </c>
      <c r="B379" s="197" t="s">
        <v>2066</v>
      </c>
      <c r="C379" s="197" t="s">
        <v>2067</v>
      </c>
      <c r="D379" s="197" t="s">
        <v>2066</v>
      </c>
      <c r="G379" s="197" t="s">
        <v>2066</v>
      </c>
      <c r="H379" s="197" t="s">
        <v>1853</v>
      </c>
    </row>
    <row r="380" spans="1:8" ht="15">
      <c r="A380" s="197">
        <v>1112</v>
      </c>
      <c r="B380" s="197" t="s">
        <v>2068</v>
      </c>
      <c r="C380" s="197" t="s">
        <v>2069</v>
      </c>
      <c r="D380" s="197" t="s">
        <v>2068</v>
      </c>
      <c r="G380" s="197" t="s">
        <v>2068</v>
      </c>
      <c r="H380" s="197" t="s">
        <v>1666</v>
      </c>
    </row>
    <row r="381" spans="1:8" ht="15">
      <c r="A381" s="197">
        <v>803</v>
      </c>
      <c r="B381" s="197" t="s">
        <v>2070</v>
      </c>
      <c r="D381" s="197" t="s">
        <v>2070</v>
      </c>
      <c r="G381" s="197" t="s">
        <v>2070</v>
      </c>
      <c r="H381" s="197" t="s">
        <v>1991</v>
      </c>
    </row>
    <row r="382" spans="1:8" ht="15">
      <c r="A382" s="197">
        <v>207</v>
      </c>
      <c r="B382" s="197" t="s">
        <v>2071</v>
      </c>
      <c r="D382" s="197" t="s">
        <v>2071</v>
      </c>
      <c r="G382" s="197" t="s">
        <v>2071</v>
      </c>
      <c r="H382" s="197" t="s">
        <v>2006</v>
      </c>
    </row>
    <row r="383" spans="1:8" ht="15">
      <c r="A383" s="197">
        <v>211</v>
      </c>
      <c r="B383" s="197" t="s">
        <v>2072</v>
      </c>
      <c r="C383" s="197" t="s">
        <v>2073</v>
      </c>
      <c r="D383" s="197" t="s">
        <v>2072</v>
      </c>
      <c r="G383" s="197" t="s">
        <v>2072</v>
      </c>
      <c r="H383" s="197" t="s">
        <v>444</v>
      </c>
    </row>
    <row r="384" spans="1:8" ht="15">
      <c r="A384" s="197">
        <v>1049</v>
      </c>
      <c r="B384" s="197" t="s">
        <v>2074</v>
      </c>
      <c r="C384" s="197" t="s">
        <v>2075</v>
      </c>
      <c r="D384" s="197" t="s">
        <v>2074</v>
      </c>
      <c r="G384" s="197" t="s">
        <v>2074</v>
      </c>
      <c r="H384" s="197" t="s">
        <v>525</v>
      </c>
    </row>
    <row r="385" spans="1:8" ht="15">
      <c r="A385" s="197">
        <v>584</v>
      </c>
      <c r="B385" s="197" t="s">
        <v>2076</v>
      </c>
      <c r="D385" s="197" t="s">
        <v>2076</v>
      </c>
      <c r="G385" s="197" t="s">
        <v>2076</v>
      </c>
      <c r="H385" s="197" t="s">
        <v>345</v>
      </c>
    </row>
    <row r="386" spans="1:8" ht="15">
      <c r="A386" s="197">
        <v>212</v>
      </c>
      <c r="B386" s="197" t="s">
        <v>2077</v>
      </c>
      <c r="C386" s="197" t="s">
        <v>2078</v>
      </c>
      <c r="D386" s="197" t="s">
        <v>2077</v>
      </c>
      <c r="G386" s="197" t="s">
        <v>2077</v>
      </c>
      <c r="H386" s="197" t="s">
        <v>2377</v>
      </c>
    </row>
    <row r="387" spans="1:8" ht="15">
      <c r="A387" s="197">
        <v>378</v>
      </c>
      <c r="B387" s="197" t="s">
        <v>2079</v>
      </c>
      <c r="D387" s="197" t="s">
        <v>2079</v>
      </c>
      <c r="G387" s="197" t="s">
        <v>2079</v>
      </c>
      <c r="H387" s="197" t="s">
        <v>2396</v>
      </c>
    </row>
    <row r="388" spans="1:8" ht="15">
      <c r="A388" s="197">
        <v>213</v>
      </c>
      <c r="B388" s="197" t="s">
        <v>2080</v>
      </c>
      <c r="C388" s="197" t="s">
        <v>2081</v>
      </c>
      <c r="D388" s="197" t="s">
        <v>2080</v>
      </c>
      <c r="G388" s="197" t="s">
        <v>2080</v>
      </c>
      <c r="H388" s="197" t="s">
        <v>71</v>
      </c>
    </row>
    <row r="389" spans="1:8" ht="15">
      <c r="A389" s="197">
        <v>1079</v>
      </c>
      <c r="B389" s="197" t="s">
        <v>693</v>
      </c>
      <c r="C389" s="197" t="s">
        <v>1269</v>
      </c>
      <c r="D389" s="197" t="s">
        <v>693</v>
      </c>
      <c r="G389" s="197" t="s">
        <v>693</v>
      </c>
      <c r="H389" s="197" t="s">
        <v>1821</v>
      </c>
    </row>
    <row r="390" spans="1:8" ht="15">
      <c r="A390" s="197">
        <v>337</v>
      </c>
      <c r="B390" s="197" t="s">
        <v>2082</v>
      </c>
      <c r="C390" s="197" t="s">
        <v>695</v>
      </c>
      <c r="D390" s="197" t="s">
        <v>2082</v>
      </c>
      <c r="G390" s="197" t="s">
        <v>2082</v>
      </c>
      <c r="H390" s="197" t="s">
        <v>510</v>
      </c>
    </row>
    <row r="391" spans="1:8" ht="15">
      <c r="A391" s="197">
        <v>214</v>
      </c>
      <c r="B391" s="197" t="s">
        <v>2083</v>
      </c>
      <c r="D391" s="197" t="s">
        <v>2083</v>
      </c>
      <c r="G391" s="197" t="s">
        <v>2083</v>
      </c>
      <c r="H391" s="197" t="s">
        <v>1539</v>
      </c>
    </row>
    <row r="392" spans="1:8" ht="15">
      <c r="A392" s="197">
        <v>600</v>
      </c>
      <c r="B392" s="197" t="s">
        <v>2084</v>
      </c>
      <c r="C392" s="197" t="s">
        <v>2085</v>
      </c>
      <c r="D392" s="197" t="s">
        <v>2084</v>
      </c>
      <c r="G392" s="197" t="s">
        <v>2084</v>
      </c>
      <c r="H392" s="197" t="s">
        <v>24</v>
      </c>
    </row>
    <row r="393" spans="1:8" ht="15">
      <c r="A393" s="197">
        <v>804</v>
      </c>
      <c r="B393" s="197" t="s">
        <v>2086</v>
      </c>
      <c r="D393" s="197" t="s">
        <v>2086</v>
      </c>
      <c r="G393" s="197" t="s">
        <v>2086</v>
      </c>
      <c r="H393" s="197" t="s">
        <v>1280</v>
      </c>
    </row>
    <row r="394" spans="1:8" ht="15">
      <c r="A394" s="197">
        <v>216</v>
      </c>
      <c r="B394" s="197" t="s">
        <v>2087</v>
      </c>
      <c r="C394" s="197" t="s">
        <v>2088</v>
      </c>
      <c r="D394" s="197" t="s">
        <v>2087</v>
      </c>
      <c r="G394" s="197" t="s">
        <v>2087</v>
      </c>
      <c r="H394" s="197" t="s">
        <v>1286</v>
      </c>
    </row>
    <row r="395" spans="1:8" ht="15">
      <c r="A395" s="197">
        <v>215</v>
      </c>
      <c r="B395" s="197" t="s">
        <v>2089</v>
      </c>
      <c r="C395" s="197" t="s">
        <v>2090</v>
      </c>
      <c r="D395" s="197" t="s">
        <v>2089</v>
      </c>
      <c r="G395" s="197" t="s">
        <v>2089</v>
      </c>
      <c r="H395" s="197" t="s">
        <v>428</v>
      </c>
    </row>
    <row r="396" spans="1:8" ht="15">
      <c r="A396" s="197">
        <v>805</v>
      </c>
      <c r="B396" s="197" t="s">
        <v>2091</v>
      </c>
      <c r="D396" s="197" t="s">
        <v>2091</v>
      </c>
      <c r="G396" s="197" t="s">
        <v>2091</v>
      </c>
      <c r="H396" s="197" t="s">
        <v>1636</v>
      </c>
    </row>
    <row r="397" spans="1:8" ht="15">
      <c r="A397" s="197">
        <v>586</v>
      </c>
      <c r="B397" s="197" t="s">
        <v>2092</v>
      </c>
      <c r="C397" s="197" t="s">
        <v>2093</v>
      </c>
      <c r="D397" s="197" t="s">
        <v>2092</v>
      </c>
      <c r="G397" s="197" t="s">
        <v>2092</v>
      </c>
      <c r="H397" s="197" t="s">
        <v>1217</v>
      </c>
    </row>
    <row r="398" spans="1:8" ht="15">
      <c r="A398" s="197">
        <v>1104</v>
      </c>
      <c r="B398" s="197" t="s">
        <v>2094</v>
      </c>
      <c r="D398" s="197" t="s">
        <v>2094</v>
      </c>
      <c r="G398" s="197" t="s">
        <v>2094</v>
      </c>
      <c r="H398" s="197" t="s">
        <v>2390</v>
      </c>
    </row>
    <row r="399" spans="1:8" ht="15">
      <c r="A399" s="197">
        <v>217</v>
      </c>
      <c r="B399" s="197" t="s">
        <v>2095</v>
      </c>
      <c r="D399" s="197" t="s">
        <v>2095</v>
      </c>
      <c r="G399" s="197" t="s">
        <v>2095</v>
      </c>
      <c r="H399" s="197" t="s">
        <v>814</v>
      </c>
    </row>
    <row r="400" spans="1:8" ht="15">
      <c r="A400" s="197">
        <v>218</v>
      </c>
      <c r="B400" s="197" t="s">
        <v>2096</v>
      </c>
      <c r="C400" s="197" t="s">
        <v>2097</v>
      </c>
      <c r="D400" s="197" t="s">
        <v>2096</v>
      </c>
      <c r="G400" s="197" t="s">
        <v>2096</v>
      </c>
      <c r="H400" s="197" t="s">
        <v>1314</v>
      </c>
    </row>
    <row r="401" spans="1:8" ht="15">
      <c r="A401" s="197">
        <v>1050</v>
      </c>
      <c r="B401" s="197" t="s">
        <v>2098</v>
      </c>
      <c r="D401" s="197" t="s">
        <v>2098</v>
      </c>
      <c r="G401" s="197" t="s">
        <v>2098</v>
      </c>
      <c r="H401" s="197" t="s">
        <v>1901</v>
      </c>
    </row>
    <row r="402" spans="1:8" ht="15">
      <c r="A402" s="197">
        <v>139</v>
      </c>
      <c r="B402" s="197" t="s">
        <v>2099</v>
      </c>
      <c r="C402" s="197" t="s">
        <v>2100</v>
      </c>
      <c r="D402" s="197" t="s">
        <v>2099</v>
      </c>
      <c r="G402" s="197" t="s">
        <v>2099</v>
      </c>
      <c r="H402" s="197" t="s">
        <v>662</v>
      </c>
    </row>
    <row r="403" spans="1:8" ht="15">
      <c r="A403" s="197">
        <v>140</v>
      </c>
      <c r="B403" s="197" t="s">
        <v>2101</v>
      </c>
      <c r="C403" s="197" t="s">
        <v>2102</v>
      </c>
      <c r="D403" s="197" t="s">
        <v>2101</v>
      </c>
      <c r="G403" s="197" t="s">
        <v>2101</v>
      </c>
      <c r="H403" s="197" t="s">
        <v>2168</v>
      </c>
    </row>
    <row r="404" spans="1:8" ht="15">
      <c r="A404" s="197">
        <v>219</v>
      </c>
      <c r="B404" s="197" t="s">
        <v>2103</v>
      </c>
      <c r="C404" s="197" t="s">
        <v>2104</v>
      </c>
      <c r="D404" s="197" t="s">
        <v>2103</v>
      </c>
      <c r="G404" s="197" t="s">
        <v>2103</v>
      </c>
      <c r="H404" s="197" t="s">
        <v>2481</v>
      </c>
    </row>
    <row r="405" spans="1:8" ht="15">
      <c r="A405" s="197">
        <v>220</v>
      </c>
      <c r="B405" s="197" t="s">
        <v>2105</v>
      </c>
      <c r="C405" s="197" t="s">
        <v>2106</v>
      </c>
      <c r="D405" s="197" t="s">
        <v>2105</v>
      </c>
      <c r="G405" s="197" t="s">
        <v>2105</v>
      </c>
      <c r="H405" s="197" t="s">
        <v>641</v>
      </c>
    </row>
    <row r="406" spans="1:8" ht="15">
      <c r="A406" s="197">
        <v>596</v>
      </c>
      <c r="B406" s="197" t="s">
        <v>2107</v>
      </c>
      <c r="D406" s="197" t="s">
        <v>2107</v>
      </c>
      <c r="G406" s="197" t="s">
        <v>2107</v>
      </c>
      <c r="H406" s="197" t="s">
        <v>406</v>
      </c>
    </row>
    <row r="407" spans="1:8" ht="15">
      <c r="A407" s="197">
        <v>806</v>
      </c>
      <c r="B407" s="197" t="s">
        <v>2108</v>
      </c>
      <c r="D407" s="197" t="s">
        <v>2108</v>
      </c>
      <c r="G407" s="197" t="s">
        <v>2108</v>
      </c>
      <c r="H407" s="197" t="s">
        <v>2057</v>
      </c>
    </row>
    <row r="408" spans="1:8" ht="15">
      <c r="A408" s="197">
        <v>807</v>
      </c>
      <c r="B408" s="197" t="s">
        <v>2109</v>
      </c>
      <c r="D408" s="197" t="s">
        <v>2109</v>
      </c>
      <c r="G408" s="197" t="s">
        <v>2109</v>
      </c>
      <c r="H408" s="197" t="s">
        <v>512</v>
      </c>
    </row>
    <row r="409" spans="1:8" ht="15">
      <c r="A409" s="197">
        <v>221</v>
      </c>
      <c r="B409" s="197" t="s">
        <v>657</v>
      </c>
      <c r="C409" s="197" t="s">
        <v>1285</v>
      </c>
      <c r="D409" s="197" t="s">
        <v>657</v>
      </c>
      <c r="G409" s="197" t="s">
        <v>657</v>
      </c>
      <c r="H409" s="197" t="s">
        <v>718</v>
      </c>
    </row>
    <row r="410" spans="1:8" ht="15">
      <c r="A410" s="197">
        <v>223</v>
      </c>
      <c r="B410" s="197" t="s">
        <v>2110</v>
      </c>
      <c r="C410" s="197" t="s">
        <v>1286</v>
      </c>
      <c r="D410" s="197" t="s">
        <v>2110</v>
      </c>
      <c r="G410" s="197" t="s">
        <v>2110</v>
      </c>
      <c r="H410" s="197" t="s">
        <v>1989</v>
      </c>
    </row>
    <row r="411" spans="1:8" ht="15">
      <c r="A411" s="197">
        <v>224</v>
      </c>
      <c r="B411" s="197" t="s">
        <v>653</v>
      </c>
      <c r="C411" s="197" t="s">
        <v>654</v>
      </c>
      <c r="D411" s="197" t="s">
        <v>653</v>
      </c>
      <c r="G411" s="197" t="s">
        <v>653</v>
      </c>
      <c r="H411" s="197" t="s">
        <v>626</v>
      </c>
    </row>
    <row r="412" spans="1:8" ht="15">
      <c r="A412" s="197">
        <v>225</v>
      </c>
      <c r="B412" s="197" t="s">
        <v>2111</v>
      </c>
      <c r="C412" s="197" t="s">
        <v>2112</v>
      </c>
      <c r="D412" s="197" t="s">
        <v>2111</v>
      </c>
      <c r="G412" s="197" t="s">
        <v>2111</v>
      </c>
      <c r="H412" s="197" t="s">
        <v>2334</v>
      </c>
    </row>
    <row r="413" spans="1:8" ht="15">
      <c r="A413" s="197">
        <v>638</v>
      </c>
      <c r="B413" s="197" t="s">
        <v>2113</v>
      </c>
      <c r="C413" s="197" t="s">
        <v>2114</v>
      </c>
      <c r="D413" s="197" t="s">
        <v>2113</v>
      </c>
      <c r="G413" s="197" t="s">
        <v>2113</v>
      </c>
      <c r="H413" s="197" t="s">
        <v>191</v>
      </c>
    </row>
    <row r="414" spans="1:8" ht="15">
      <c r="A414" s="197">
        <v>808</v>
      </c>
      <c r="B414" s="197" t="s">
        <v>2115</v>
      </c>
      <c r="D414" s="197" t="s">
        <v>2115</v>
      </c>
      <c r="G414" s="197" t="s">
        <v>2115</v>
      </c>
      <c r="H414" s="197" t="s">
        <v>1871</v>
      </c>
    </row>
    <row r="415" spans="1:8" ht="15">
      <c r="A415" s="197">
        <v>809</v>
      </c>
      <c r="B415" s="197" t="s">
        <v>2116</v>
      </c>
      <c r="C415" s="197" t="s">
        <v>2117</v>
      </c>
      <c r="D415" s="197" t="s">
        <v>2116</v>
      </c>
      <c r="G415" s="197" t="s">
        <v>2116</v>
      </c>
      <c r="H415" s="197" t="s">
        <v>1875</v>
      </c>
    </row>
    <row r="416" spans="1:8" ht="15">
      <c r="A416" s="197">
        <v>226</v>
      </c>
      <c r="B416" s="197" t="s">
        <v>2118</v>
      </c>
      <c r="C416" s="197" t="s">
        <v>2119</v>
      </c>
      <c r="D416" s="197" t="s">
        <v>2118</v>
      </c>
      <c r="G416" s="197" t="s">
        <v>2118</v>
      </c>
      <c r="H416" s="197" t="s">
        <v>2337</v>
      </c>
    </row>
    <row r="417" spans="1:8" ht="15">
      <c r="A417" s="197">
        <v>227</v>
      </c>
      <c r="B417" s="197" t="s">
        <v>2120</v>
      </c>
      <c r="C417" s="197" t="s">
        <v>2121</v>
      </c>
      <c r="D417" s="197" t="s">
        <v>2120</v>
      </c>
      <c r="G417" s="197" t="s">
        <v>2120</v>
      </c>
      <c r="H417" s="197" t="s">
        <v>1776</v>
      </c>
    </row>
    <row r="418" spans="1:8" ht="15">
      <c r="A418" s="197">
        <v>810</v>
      </c>
      <c r="B418" s="197" t="s">
        <v>2122</v>
      </c>
      <c r="C418" s="197" t="s">
        <v>2123</v>
      </c>
      <c r="D418" s="197" t="s">
        <v>2122</v>
      </c>
      <c r="G418" s="197" t="s">
        <v>2122</v>
      </c>
      <c r="H418" s="197" t="s">
        <v>1701</v>
      </c>
    </row>
    <row r="419" spans="1:8" ht="15">
      <c r="A419" s="197">
        <v>228</v>
      </c>
      <c r="B419" s="197" t="s">
        <v>2124</v>
      </c>
      <c r="C419" s="197" t="s">
        <v>2125</v>
      </c>
      <c r="D419" s="197" t="s">
        <v>2124</v>
      </c>
      <c r="G419" s="197" t="s">
        <v>2124</v>
      </c>
      <c r="H419" s="197" t="s">
        <v>2240</v>
      </c>
    </row>
    <row r="420" spans="1:8" ht="15">
      <c r="A420" s="197">
        <v>811</v>
      </c>
      <c r="B420" s="197" t="s">
        <v>2126</v>
      </c>
      <c r="C420" s="197" t="s">
        <v>2127</v>
      </c>
      <c r="D420" s="197" t="s">
        <v>2126</v>
      </c>
      <c r="G420" s="197" t="s">
        <v>2126</v>
      </c>
      <c r="H420" s="197" t="s">
        <v>754</v>
      </c>
    </row>
    <row r="421" spans="1:8" ht="15">
      <c r="A421" s="197">
        <v>229</v>
      </c>
      <c r="B421" s="197" t="s">
        <v>2128</v>
      </c>
      <c r="C421" s="197" t="s">
        <v>2129</v>
      </c>
      <c r="D421" s="197" t="s">
        <v>2128</v>
      </c>
      <c r="G421" s="197" t="s">
        <v>2128</v>
      </c>
      <c r="H421" s="197" t="s">
        <v>1664</v>
      </c>
    </row>
    <row r="422" spans="1:8" ht="15">
      <c r="A422" s="197">
        <v>1110</v>
      </c>
      <c r="B422" s="197" t="s">
        <v>2130</v>
      </c>
      <c r="D422" s="197" t="s">
        <v>2130</v>
      </c>
      <c r="G422" s="197" t="s">
        <v>2130</v>
      </c>
      <c r="H422" s="197" t="s">
        <v>1899</v>
      </c>
    </row>
    <row r="423" spans="1:8" ht="15">
      <c r="A423" s="197">
        <v>230</v>
      </c>
      <c r="B423" s="197" t="s">
        <v>2131</v>
      </c>
      <c r="D423" s="197" t="s">
        <v>2131</v>
      </c>
      <c r="G423" s="197" t="s">
        <v>2131</v>
      </c>
      <c r="H423" s="197" t="s">
        <v>2440</v>
      </c>
    </row>
    <row r="424" spans="1:8" ht="15">
      <c r="A424" s="197">
        <v>1099</v>
      </c>
      <c r="B424" s="197" t="s">
        <v>2132</v>
      </c>
      <c r="D424" s="197" t="s">
        <v>2132</v>
      </c>
      <c r="G424" s="197" t="s">
        <v>2132</v>
      </c>
      <c r="H424" s="197" t="s">
        <v>1758</v>
      </c>
    </row>
    <row r="425" spans="1:8" ht="15">
      <c r="A425" s="197">
        <v>812</v>
      </c>
      <c r="B425" s="197" t="s">
        <v>2133</v>
      </c>
      <c r="C425" s="197" t="s">
        <v>2134</v>
      </c>
      <c r="D425" s="197" t="s">
        <v>2133</v>
      </c>
      <c r="G425" s="197" t="s">
        <v>2133</v>
      </c>
      <c r="H425" s="197" t="s">
        <v>2164</v>
      </c>
    </row>
    <row r="426" spans="1:8" ht="15">
      <c r="A426" s="197">
        <v>1098</v>
      </c>
      <c r="B426" s="197" t="s">
        <v>2135</v>
      </c>
      <c r="D426" s="197" t="s">
        <v>2135</v>
      </c>
      <c r="G426" s="197" t="s">
        <v>2135</v>
      </c>
      <c r="H426" s="197" t="s">
        <v>751</v>
      </c>
    </row>
    <row r="427" spans="1:8" ht="15">
      <c r="A427" s="197">
        <v>1097</v>
      </c>
      <c r="B427" s="197" t="s">
        <v>2136</v>
      </c>
      <c r="C427" s="197" t="s">
        <v>2137</v>
      </c>
      <c r="D427" s="197" t="s">
        <v>2136</v>
      </c>
      <c r="G427" s="197" t="s">
        <v>2136</v>
      </c>
      <c r="H427" s="197" t="s">
        <v>1567</v>
      </c>
    </row>
    <row r="428" spans="1:8" ht="15">
      <c r="A428" s="197">
        <v>1096</v>
      </c>
      <c r="B428" s="197" t="s">
        <v>2138</v>
      </c>
      <c r="D428" s="197" t="s">
        <v>2138</v>
      </c>
      <c r="G428" s="197" t="s">
        <v>2138</v>
      </c>
      <c r="H428" s="197" t="s">
        <v>1548</v>
      </c>
    </row>
    <row r="429" spans="1:8" ht="15">
      <c r="A429" s="197">
        <v>232</v>
      </c>
      <c r="B429" s="197" t="s">
        <v>2139</v>
      </c>
      <c r="C429" s="197" t="s">
        <v>2140</v>
      </c>
      <c r="D429" s="197" t="s">
        <v>2139</v>
      </c>
      <c r="G429" s="197" t="s">
        <v>2139</v>
      </c>
      <c r="H429" s="197" t="s">
        <v>2242</v>
      </c>
    </row>
    <row r="430" spans="1:8" ht="15">
      <c r="A430" s="197">
        <v>813</v>
      </c>
      <c r="B430" s="197" t="s">
        <v>2141</v>
      </c>
      <c r="C430" s="197" t="s">
        <v>2142</v>
      </c>
      <c r="D430" s="197" t="s">
        <v>2141</v>
      </c>
      <c r="G430" s="197" t="s">
        <v>2141</v>
      </c>
      <c r="H430" s="197" t="s">
        <v>42</v>
      </c>
    </row>
    <row r="431" spans="1:8" ht="15">
      <c r="A431" s="197">
        <v>814</v>
      </c>
      <c r="B431" s="197" t="s">
        <v>2143</v>
      </c>
      <c r="C431" s="197" t="s">
        <v>2144</v>
      </c>
      <c r="D431" s="197" t="s">
        <v>2143</v>
      </c>
      <c r="G431" s="197" t="s">
        <v>2143</v>
      </c>
      <c r="H431" s="197" t="s">
        <v>2285</v>
      </c>
    </row>
    <row r="432" spans="1:8" ht="15">
      <c r="A432" s="197">
        <v>654</v>
      </c>
      <c r="B432" s="197" t="s">
        <v>2145</v>
      </c>
      <c r="C432" s="197" t="s">
        <v>2146</v>
      </c>
      <c r="D432" s="197" t="s">
        <v>2145</v>
      </c>
      <c r="G432" s="197" t="s">
        <v>2145</v>
      </c>
      <c r="H432" s="197" t="s">
        <v>90</v>
      </c>
    </row>
    <row r="433" spans="1:8" ht="15">
      <c r="A433" s="197">
        <v>815</v>
      </c>
      <c r="B433" s="197" t="s">
        <v>2147</v>
      </c>
      <c r="C433" s="197" t="s">
        <v>2148</v>
      </c>
      <c r="D433" s="197" t="s">
        <v>2147</v>
      </c>
      <c r="G433" s="197" t="s">
        <v>2147</v>
      </c>
      <c r="H433" s="197" t="s">
        <v>2238</v>
      </c>
    </row>
    <row r="434" spans="1:8" ht="15">
      <c r="A434" s="197">
        <v>816</v>
      </c>
      <c r="B434" s="197" t="s">
        <v>2149</v>
      </c>
      <c r="C434" s="197" t="s">
        <v>2150</v>
      </c>
      <c r="D434" s="197" t="s">
        <v>2149</v>
      </c>
      <c r="G434" s="197" t="s">
        <v>2149</v>
      </c>
      <c r="H434" s="197" t="s">
        <v>2385</v>
      </c>
    </row>
    <row r="435" spans="1:8" ht="15">
      <c r="A435" s="197">
        <v>817</v>
      </c>
      <c r="B435" s="197" t="s">
        <v>2151</v>
      </c>
      <c r="D435" s="197" t="s">
        <v>2151</v>
      </c>
      <c r="G435" s="197" t="s">
        <v>2151</v>
      </c>
      <c r="H435" s="197" t="s">
        <v>2500</v>
      </c>
    </row>
    <row r="436" spans="1:8" ht="15">
      <c r="A436" s="197">
        <v>233</v>
      </c>
      <c r="B436" s="197" t="s">
        <v>2152</v>
      </c>
      <c r="C436" s="197" t="s">
        <v>2153</v>
      </c>
      <c r="D436" s="197" t="s">
        <v>2152</v>
      </c>
      <c r="G436" s="197" t="s">
        <v>2152</v>
      </c>
      <c r="H436" s="197" t="s">
        <v>1855</v>
      </c>
    </row>
    <row r="437" spans="1:8" ht="15">
      <c r="A437" s="197">
        <v>666</v>
      </c>
      <c r="B437" s="197" t="s">
        <v>2154</v>
      </c>
      <c r="C437" s="197" t="s">
        <v>2155</v>
      </c>
      <c r="D437" s="197" t="s">
        <v>2154</v>
      </c>
      <c r="G437" s="197" t="s">
        <v>2154</v>
      </c>
      <c r="H437" s="197" t="s">
        <v>2403</v>
      </c>
    </row>
    <row r="438" spans="1:8" ht="15">
      <c r="A438" s="197">
        <v>663</v>
      </c>
      <c r="B438" s="197" t="s">
        <v>2156</v>
      </c>
      <c r="C438" s="197" t="s">
        <v>2157</v>
      </c>
      <c r="D438" s="197" t="s">
        <v>2156</v>
      </c>
      <c r="G438" s="197" t="s">
        <v>2156</v>
      </c>
      <c r="H438" s="197" t="s">
        <v>1596</v>
      </c>
    </row>
    <row r="439" spans="1:8" ht="15">
      <c r="A439" s="197">
        <v>236</v>
      </c>
      <c r="B439" s="197" t="s">
        <v>2158</v>
      </c>
      <c r="D439" s="197" t="s">
        <v>2158</v>
      </c>
      <c r="G439" s="197" t="s">
        <v>2158</v>
      </c>
      <c r="H439" s="197" t="s">
        <v>2456</v>
      </c>
    </row>
    <row r="440" spans="1:8" ht="15">
      <c r="A440" s="197">
        <v>234</v>
      </c>
      <c r="B440" s="197" t="s">
        <v>2159</v>
      </c>
      <c r="C440" s="197" t="s">
        <v>2160</v>
      </c>
      <c r="D440" s="197" t="s">
        <v>2159</v>
      </c>
      <c r="G440" s="197" t="s">
        <v>2159</v>
      </c>
      <c r="H440" s="197" t="s">
        <v>1311</v>
      </c>
    </row>
    <row r="441" spans="1:8" ht="15">
      <c r="A441" s="197">
        <v>235</v>
      </c>
      <c r="B441" s="197" t="s">
        <v>2161</v>
      </c>
      <c r="C441" s="197" t="s">
        <v>2162</v>
      </c>
      <c r="D441" s="197" t="s">
        <v>2161</v>
      </c>
      <c r="G441" s="197" t="s">
        <v>2161</v>
      </c>
      <c r="H441" s="197" t="s">
        <v>73</v>
      </c>
    </row>
    <row r="442" spans="1:8" ht="15">
      <c r="A442" s="197">
        <v>237</v>
      </c>
      <c r="B442" s="197" t="s">
        <v>2163</v>
      </c>
      <c r="C442" s="197" t="s">
        <v>2164</v>
      </c>
      <c r="D442" s="197" t="s">
        <v>2163</v>
      </c>
      <c r="G442" s="197" t="s">
        <v>2163</v>
      </c>
      <c r="H442" s="197" t="s">
        <v>1724</v>
      </c>
    </row>
    <row r="443" spans="1:8" ht="15">
      <c r="A443" s="197">
        <v>818</v>
      </c>
      <c r="B443" s="197" t="s">
        <v>2165</v>
      </c>
      <c r="C443" s="197" t="s">
        <v>2166</v>
      </c>
      <c r="D443" s="197" t="s">
        <v>2165</v>
      </c>
      <c r="G443" s="197" t="s">
        <v>2165</v>
      </c>
      <c r="H443" s="197" t="s">
        <v>216</v>
      </c>
    </row>
    <row r="444" spans="1:8" ht="15">
      <c r="A444" s="197">
        <v>819</v>
      </c>
      <c r="B444" s="197" t="s">
        <v>2167</v>
      </c>
      <c r="C444" s="197" t="s">
        <v>2168</v>
      </c>
      <c r="D444" s="197" t="s">
        <v>2167</v>
      </c>
      <c r="G444" s="197" t="s">
        <v>2167</v>
      </c>
      <c r="H444" s="197" t="s">
        <v>459</v>
      </c>
    </row>
    <row r="445" spans="1:8" ht="15">
      <c r="A445" s="197">
        <v>1095</v>
      </c>
      <c r="B445" s="197" t="s">
        <v>2169</v>
      </c>
      <c r="D445" s="197" t="s">
        <v>2169</v>
      </c>
      <c r="G445" s="197" t="s">
        <v>2169</v>
      </c>
      <c r="H445" s="197" t="s">
        <v>2494</v>
      </c>
    </row>
    <row r="446" spans="1:8" ht="15">
      <c r="A446" s="197">
        <v>1094</v>
      </c>
      <c r="B446" s="197" t="s">
        <v>2170</v>
      </c>
      <c r="C446" s="197" t="s">
        <v>662</v>
      </c>
      <c r="D446" s="197" t="s">
        <v>2170</v>
      </c>
      <c r="G446" s="197" t="s">
        <v>2170</v>
      </c>
      <c r="H446" s="197" t="s">
        <v>327</v>
      </c>
    </row>
    <row r="447" spans="1:8" ht="15">
      <c r="A447" s="197">
        <v>1121</v>
      </c>
      <c r="B447" s="197" t="s">
        <v>2171</v>
      </c>
      <c r="D447" s="197" t="s">
        <v>2171</v>
      </c>
      <c r="G447" s="197" t="s">
        <v>2171</v>
      </c>
      <c r="H447" s="197" t="s">
        <v>329</v>
      </c>
    </row>
    <row r="448" spans="1:8" ht="15">
      <c r="A448" s="197">
        <v>1102</v>
      </c>
      <c r="B448" s="197" t="s">
        <v>2172</v>
      </c>
      <c r="C448" s="197" t="s">
        <v>2173</v>
      </c>
      <c r="D448" s="197" t="s">
        <v>2172</v>
      </c>
      <c r="G448" s="197" t="s">
        <v>2172</v>
      </c>
      <c r="H448" s="197" t="s">
        <v>2502</v>
      </c>
    </row>
    <row r="449" spans="1:8" ht="15">
      <c r="A449" s="197">
        <v>1126</v>
      </c>
      <c r="B449" s="197" t="s">
        <v>2174</v>
      </c>
      <c r="D449" s="197" t="s">
        <v>2174</v>
      </c>
      <c r="G449" s="197" t="s">
        <v>2174</v>
      </c>
      <c r="H449" s="197" t="s">
        <v>1533</v>
      </c>
    </row>
    <row r="450" spans="1:8" ht="15">
      <c r="A450" s="197">
        <v>239</v>
      </c>
      <c r="B450" s="197" t="s">
        <v>2175</v>
      </c>
      <c r="C450" s="197" t="s">
        <v>2176</v>
      </c>
      <c r="D450" s="197" t="s">
        <v>2175</v>
      </c>
      <c r="G450" s="197" t="s">
        <v>2175</v>
      </c>
      <c r="H450" s="197" t="s">
        <v>2148</v>
      </c>
    </row>
    <row r="451" spans="1:8" ht="15">
      <c r="A451" s="197">
        <v>242</v>
      </c>
      <c r="B451" s="197" t="s">
        <v>2177</v>
      </c>
      <c r="C451" s="197" t="s">
        <v>2178</v>
      </c>
      <c r="D451" s="197" t="s">
        <v>2177</v>
      </c>
      <c r="G451" s="197" t="s">
        <v>2177</v>
      </c>
      <c r="H451" s="197" t="s">
        <v>2301</v>
      </c>
    </row>
    <row r="452" spans="1:8" ht="15">
      <c r="A452" s="197">
        <v>820</v>
      </c>
      <c r="B452" s="197" t="s">
        <v>2179</v>
      </c>
      <c r="C452" s="197" t="s">
        <v>2180</v>
      </c>
      <c r="D452" s="197" t="s">
        <v>2179</v>
      </c>
      <c r="G452" s="197" t="s">
        <v>2179</v>
      </c>
      <c r="H452" s="197" t="s">
        <v>411</v>
      </c>
    </row>
    <row r="453" spans="1:8" ht="15">
      <c r="A453" s="197">
        <v>241</v>
      </c>
      <c r="B453" s="197" t="s">
        <v>2181</v>
      </c>
      <c r="C453" s="197" t="s">
        <v>2182</v>
      </c>
      <c r="D453" s="197" t="s">
        <v>2181</v>
      </c>
      <c r="G453" s="197" t="s">
        <v>2181</v>
      </c>
      <c r="H453" s="197" t="s">
        <v>2534</v>
      </c>
    </row>
    <row r="454" spans="1:8" ht="15">
      <c r="A454" s="197">
        <v>246</v>
      </c>
      <c r="B454" s="197" t="s">
        <v>2183</v>
      </c>
      <c r="C454" s="197" t="s">
        <v>2184</v>
      </c>
      <c r="D454" s="197" t="s">
        <v>2183</v>
      </c>
      <c r="G454" s="197" t="s">
        <v>2183</v>
      </c>
      <c r="H454" s="197" t="s">
        <v>1585</v>
      </c>
    </row>
    <row r="455" spans="1:8" ht="15">
      <c r="A455" s="197">
        <v>245</v>
      </c>
      <c r="B455" s="197" t="s">
        <v>2185</v>
      </c>
      <c r="C455" s="197" t="s">
        <v>2186</v>
      </c>
      <c r="D455" s="197" t="s">
        <v>2185</v>
      </c>
      <c r="G455" s="197" t="s">
        <v>2185</v>
      </c>
      <c r="H455" s="197" t="s">
        <v>404</v>
      </c>
    </row>
    <row r="456" spans="1:8" ht="15">
      <c r="A456" s="197">
        <v>1187</v>
      </c>
      <c r="B456" s="197" t="s">
        <v>2187</v>
      </c>
      <c r="C456" s="197" t="s">
        <v>2188</v>
      </c>
      <c r="D456" s="197" t="s">
        <v>2187</v>
      </c>
      <c r="G456" s="197" t="s">
        <v>2187</v>
      </c>
      <c r="H456" s="197" t="s">
        <v>2426</v>
      </c>
    </row>
    <row r="457" spans="1:8" ht="15">
      <c r="A457" s="197">
        <v>1128</v>
      </c>
      <c r="B457" s="197" t="s">
        <v>2189</v>
      </c>
      <c r="C457" s="197" t="s">
        <v>2190</v>
      </c>
      <c r="D457" s="197" t="s">
        <v>2189</v>
      </c>
      <c r="G457" s="197" t="s">
        <v>2189</v>
      </c>
      <c r="H457" s="197" t="s">
        <v>523</v>
      </c>
    </row>
    <row r="458" spans="1:8" ht="15">
      <c r="A458" s="197">
        <v>249</v>
      </c>
      <c r="B458" s="197" t="s">
        <v>2191</v>
      </c>
      <c r="C458" s="197" t="s">
        <v>2192</v>
      </c>
      <c r="D458" s="197" t="s">
        <v>2191</v>
      </c>
      <c r="G458" s="197" t="s">
        <v>2191</v>
      </c>
      <c r="H458" s="197" t="s">
        <v>1686</v>
      </c>
    </row>
    <row r="459" spans="1:8" ht="15">
      <c r="A459" s="197">
        <v>240</v>
      </c>
      <c r="B459" s="197" t="s">
        <v>2193</v>
      </c>
      <c r="C459" s="197" t="s">
        <v>2194</v>
      </c>
      <c r="D459" s="197" t="s">
        <v>2193</v>
      </c>
      <c r="G459" s="197" t="s">
        <v>2193</v>
      </c>
      <c r="H459" s="197" t="s">
        <v>365</v>
      </c>
    </row>
    <row r="460" spans="1:8" ht="15">
      <c r="A460" s="197">
        <v>247</v>
      </c>
      <c r="B460" s="197" t="s">
        <v>665</v>
      </c>
      <c r="C460" s="197" t="s">
        <v>666</v>
      </c>
      <c r="D460" s="197" t="s">
        <v>665</v>
      </c>
      <c r="G460" s="197" t="s">
        <v>665</v>
      </c>
      <c r="H460" s="197" t="s">
        <v>259</v>
      </c>
    </row>
    <row r="461" spans="1:8" ht="15">
      <c r="A461" s="197">
        <v>665</v>
      </c>
      <c r="B461" s="197" t="s">
        <v>2195</v>
      </c>
      <c r="C461" s="197" t="s">
        <v>2196</v>
      </c>
      <c r="D461" s="197" t="s">
        <v>2195</v>
      </c>
      <c r="G461" s="197" t="s">
        <v>2195</v>
      </c>
      <c r="H461" s="197" t="s">
        <v>2134</v>
      </c>
    </row>
    <row r="462" spans="1:8" ht="15">
      <c r="A462" s="197">
        <v>821</v>
      </c>
      <c r="B462" s="197" t="s">
        <v>2197</v>
      </c>
      <c r="D462" s="197" t="s">
        <v>2197</v>
      </c>
      <c r="G462" s="197" t="s">
        <v>2197</v>
      </c>
      <c r="H462" s="197" t="s">
        <v>1546</v>
      </c>
    </row>
    <row r="463" spans="1:8" ht="15">
      <c r="A463" s="197">
        <v>1118</v>
      </c>
      <c r="B463" s="197" t="s">
        <v>2198</v>
      </c>
      <c r="D463" s="197" t="s">
        <v>2198</v>
      </c>
      <c r="G463" s="197" t="s">
        <v>2198</v>
      </c>
      <c r="H463" s="197" t="s">
        <v>740</v>
      </c>
    </row>
    <row r="464" spans="1:8" ht="15">
      <c r="A464" s="197">
        <v>254</v>
      </c>
      <c r="B464" s="197" t="s">
        <v>2199</v>
      </c>
      <c r="D464" s="197" t="s">
        <v>2199</v>
      </c>
      <c r="G464" s="197" t="s">
        <v>2199</v>
      </c>
      <c r="H464" s="197" t="s">
        <v>55</v>
      </c>
    </row>
    <row r="465" spans="1:8" ht="15">
      <c r="A465" s="197">
        <v>292</v>
      </c>
      <c r="B465" s="197" t="s">
        <v>2200</v>
      </c>
      <c r="D465" s="197" t="s">
        <v>2200</v>
      </c>
      <c r="G465" s="197" t="s">
        <v>2200</v>
      </c>
      <c r="H465" s="197" t="s">
        <v>690</v>
      </c>
    </row>
    <row r="466" spans="1:8" ht="15">
      <c r="A466" s="197">
        <v>250</v>
      </c>
      <c r="B466" s="197" t="s">
        <v>2201</v>
      </c>
      <c r="C466" s="197" t="s">
        <v>2202</v>
      </c>
      <c r="D466" s="197" t="s">
        <v>2201</v>
      </c>
      <c r="G466" s="197" t="s">
        <v>2201</v>
      </c>
      <c r="H466" s="197" t="s">
        <v>1694</v>
      </c>
    </row>
    <row r="467" spans="1:8" ht="15">
      <c r="A467" s="197">
        <v>251</v>
      </c>
      <c r="B467" s="197" t="s">
        <v>2203</v>
      </c>
      <c r="C467" s="197" t="s">
        <v>2204</v>
      </c>
      <c r="D467" s="197" t="s">
        <v>2203</v>
      </c>
      <c r="G467" s="197" t="s">
        <v>2203</v>
      </c>
      <c r="H467" s="197" t="s">
        <v>2516</v>
      </c>
    </row>
    <row r="468" spans="1:8" ht="15">
      <c r="A468" s="197">
        <v>252</v>
      </c>
      <c r="B468" s="197" t="s">
        <v>2205</v>
      </c>
      <c r="C468" s="197" t="s">
        <v>2206</v>
      </c>
      <c r="D468" s="197" t="s">
        <v>2205</v>
      </c>
      <c r="G468" s="197" t="s">
        <v>2205</v>
      </c>
      <c r="H468" s="197" t="s">
        <v>497</v>
      </c>
    </row>
    <row r="469" spans="1:8" ht="15">
      <c r="A469" s="197">
        <v>822</v>
      </c>
      <c r="B469" s="197" t="s">
        <v>2207</v>
      </c>
      <c r="C469" s="197" t="s">
        <v>2208</v>
      </c>
      <c r="D469" s="197" t="s">
        <v>2207</v>
      </c>
      <c r="G469" s="197" t="s">
        <v>2207</v>
      </c>
      <c r="H469" s="197" t="s">
        <v>783</v>
      </c>
    </row>
    <row r="470" spans="1:8" ht="15">
      <c r="A470" s="197">
        <v>823</v>
      </c>
      <c r="B470" s="197" t="s">
        <v>2209</v>
      </c>
      <c r="C470" s="197" t="s">
        <v>2210</v>
      </c>
      <c r="D470" s="197" t="s">
        <v>2209</v>
      </c>
      <c r="G470" s="197" t="s">
        <v>2209</v>
      </c>
      <c r="H470" s="197" t="s">
        <v>1841</v>
      </c>
    </row>
    <row r="471" spans="1:8" ht="15">
      <c r="A471" s="197">
        <v>824</v>
      </c>
      <c r="B471" s="197" t="s">
        <v>2211</v>
      </c>
      <c r="C471" s="197" t="s">
        <v>2212</v>
      </c>
      <c r="D471" s="197" t="s">
        <v>2211</v>
      </c>
      <c r="G471" s="197" t="s">
        <v>2211</v>
      </c>
      <c r="H471" s="197" t="s">
        <v>1258</v>
      </c>
    </row>
    <row r="472" spans="1:8" ht="15">
      <c r="A472" s="197">
        <v>620</v>
      </c>
      <c r="B472" s="197" t="s">
        <v>773</v>
      </c>
      <c r="C472" s="197" t="s">
        <v>774</v>
      </c>
      <c r="D472" s="197" t="s">
        <v>773</v>
      </c>
      <c r="G472" s="197" t="s">
        <v>773</v>
      </c>
      <c r="H472" s="197" t="s">
        <v>734</v>
      </c>
    </row>
    <row r="473" spans="1:8" ht="15">
      <c r="A473" s="197">
        <v>256</v>
      </c>
      <c r="B473" s="197" t="s">
        <v>2213</v>
      </c>
      <c r="C473" s="197" t="s">
        <v>776</v>
      </c>
      <c r="D473" s="197" t="s">
        <v>2213</v>
      </c>
      <c r="G473" s="197" t="s">
        <v>2213</v>
      </c>
      <c r="H473" s="197" t="s">
        <v>2065</v>
      </c>
    </row>
    <row r="474" spans="1:8" ht="15">
      <c r="A474" s="197">
        <v>825</v>
      </c>
      <c r="B474" s="197" t="s">
        <v>2214</v>
      </c>
      <c r="C474" s="197" t="s">
        <v>2215</v>
      </c>
      <c r="D474" s="197" t="s">
        <v>2214</v>
      </c>
      <c r="G474" s="197" t="s">
        <v>2214</v>
      </c>
      <c r="H474" s="197" t="s">
        <v>2190</v>
      </c>
    </row>
    <row r="475" spans="1:8" ht="15">
      <c r="A475" s="197">
        <v>257</v>
      </c>
      <c r="B475" s="197" t="s">
        <v>2216</v>
      </c>
      <c r="C475" s="197" t="s">
        <v>2217</v>
      </c>
      <c r="D475" s="197" t="s">
        <v>2216</v>
      </c>
      <c r="G475" s="197" t="s">
        <v>2216</v>
      </c>
      <c r="H475" s="197" t="s">
        <v>19</v>
      </c>
    </row>
    <row r="476" spans="1:8" ht="15">
      <c r="A476" s="197">
        <v>258</v>
      </c>
      <c r="B476" s="197" t="s">
        <v>2218</v>
      </c>
      <c r="C476" s="197" t="s">
        <v>2219</v>
      </c>
      <c r="D476" s="197" t="s">
        <v>2218</v>
      </c>
      <c r="G476" s="197" t="s">
        <v>2218</v>
      </c>
      <c r="H476" s="197" t="s">
        <v>1631</v>
      </c>
    </row>
    <row r="477" spans="1:8" ht="15">
      <c r="A477" s="197">
        <v>259</v>
      </c>
      <c r="B477" s="197" t="s">
        <v>2220</v>
      </c>
      <c r="C477" s="197" t="s">
        <v>2221</v>
      </c>
      <c r="D477" s="197" t="s">
        <v>2220</v>
      </c>
      <c r="G477" s="197" t="s">
        <v>2220</v>
      </c>
      <c r="H477" s="197" t="s">
        <v>2428</v>
      </c>
    </row>
    <row r="478" spans="1:8" ht="15">
      <c r="A478" s="197">
        <v>1100</v>
      </c>
      <c r="B478" s="197" t="s">
        <v>2222</v>
      </c>
      <c r="C478" s="197" t="s">
        <v>2223</v>
      </c>
      <c r="D478" s="197" t="s">
        <v>2222</v>
      </c>
      <c r="G478" s="197" t="s">
        <v>2222</v>
      </c>
      <c r="H478" s="197" t="s">
        <v>2414</v>
      </c>
    </row>
    <row r="479" spans="1:8" ht="15">
      <c r="A479" s="197">
        <v>438</v>
      </c>
      <c r="B479" s="197" t="s">
        <v>2224</v>
      </c>
      <c r="C479" s="197" t="s">
        <v>2225</v>
      </c>
      <c r="D479" s="197" t="s">
        <v>2224</v>
      </c>
      <c r="G479" s="197" t="s">
        <v>2224</v>
      </c>
      <c r="H479" s="197" t="s">
        <v>2230</v>
      </c>
    </row>
    <row r="480" spans="1:8" ht="15">
      <c r="A480" s="197">
        <v>826</v>
      </c>
      <c r="B480" s="197" t="s">
        <v>2226</v>
      </c>
      <c r="D480" s="197" t="s">
        <v>2226</v>
      </c>
      <c r="G480" s="197" t="s">
        <v>2226</v>
      </c>
      <c r="H480" s="197" t="s">
        <v>766</v>
      </c>
    </row>
    <row r="481" spans="1:8" ht="15">
      <c r="A481" s="197">
        <v>998</v>
      </c>
      <c r="B481" s="197" t="s">
        <v>2227</v>
      </c>
      <c r="C481" s="197" t="s">
        <v>2228</v>
      </c>
      <c r="D481" s="197" t="s">
        <v>2227</v>
      </c>
      <c r="G481" s="197" t="s">
        <v>2227</v>
      </c>
      <c r="H481" s="197" t="s">
        <v>222</v>
      </c>
    </row>
    <row r="482" spans="1:8" ht="15">
      <c r="A482" s="197">
        <v>262</v>
      </c>
      <c r="B482" s="197" t="s">
        <v>2229</v>
      </c>
      <c r="C482" s="197" t="s">
        <v>2230</v>
      </c>
      <c r="D482" s="197" t="s">
        <v>2229</v>
      </c>
      <c r="G482" s="197" t="s">
        <v>2229</v>
      </c>
      <c r="H482" s="197" t="s">
        <v>1207</v>
      </c>
    </row>
    <row r="483" spans="1:8" ht="15">
      <c r="A483" s="197">
        <v>263</v>
      </c>
      <c r="B483" s="197" t="s">
        <v>2231</v>
      </c>
      <c r="C483" s="197" t="s">
        <v>2232</v>
      </c>
      <c r="D483" s="197" t="s">
        <v>2231</v>
      </c>
      <c r="G483" s="197" t="s">
        <v>2231</v>
      </c>
      <c r="H483" s="197" t="s">
        <v>15</v>
      </c>
    </row>
    <row r="484" spans="1:8" ht="15">
      <c r="A484" s="197">
        <v>264</v>
      </c>
      <c r="B484" s="197" t="s">
        <v>2233</v>
      </c>
      <c r="C484" s="197" t="s">
        <v>2234</v>
      </c>
      <c r="D484" s="197" t="s">
        <v>2233</v>
      </c>
      <c r="G484" s="197" t="s">
        <v>2233</v>
      </c>
      <c r="H484" s="197" t="s">
        <v>1827</v>
      </c>
    </row>
    <row r="485" spans="1:8" ht="15">
      <c r="A485" s="197">
        <v>265</v>
      </c>
      <c r="B485" s="197" t="s">
        <v>667</v>
      </c>
      <c r="C485" s="197" t="s">
        <v>668</v>
      </c>
      <c r="D485" s="197" t="s">
        <v>667</v>
      </c>
      <c r="G485" s="197" t="s">
        <v>667</v>
      </c>
      <c r="H485" s="197" t="s">
        <v>107</v>
      </c>
    </row>
    <row r="486" spans="1:8" ht="15">
      <c r="A486" s="197">
        <v>1071</v>
      </c>
      <c r="B486" s="197" t="s">
        <v>2235</v>
      </c>
      <c r="D486" s="197" t="s">
        <v>2235</v>
      </c>
      <c r="G486" s="197" t="s">
        <v>2235</v>
      </c>
      <c r="H486" s="197" t="s">
        <v>2436</v>
      </c>
    </row>
    <row r="487" spans="1:8" ht="15">
      <c r="A487" s="197">
        <v>827</v>
      </c>
      <c r="B487" s="197" t="s">
        <v>2236</v>
      </c>
      <c r="D487" s="197" t="s">
        <v>2236</v>
      </c>
      <c r="G487" s="197" t="s">
        <v>2236</v>
      </c>
      <c r="H487" s="197" t="s">
        <v>1589</v>
      </c>
    </row>
    <row r="488" spans="1:8" ht="15">
      <c r="A488" s="197">
        <v>266</v>
      </c>
      <c r="B488" s="197" t="s">
        <v>2237</v>
      </c>
      <c r="C488" s="197" t="s">
        <v>2238</v>
      </c>
      <c r="D488" s="197" t="s">
        <v>2237</v>
      </c>
      <c r="G488" s="197" t="s">
        <v>2237</v>
      </c>
      <c r="H488" s="197" t="s">
        <v>34</v>
      </c>
    </row>
    <row r="489" spans="1:8" ht="15">
      <c r="A489" s="197">
        <v>570</v>
      </c>
      <c r="B489" s="197" t="s">
        <v>2239</v>
      </c>
      <c r="C489" s="197" t="s">
        <v>2240</v>
      </c>
      <c r="D489" s="197" t="s">
        <v>2239</v>
      </c>
      <c r="G489" s="197" t="s">
        <v>2239</v>
      </c>
      <c r="H489" s="197" t="s">
        <v>40</v>
      </c>
    </row>
    <row r="490" spans="1:8" ht="15">
      <c r="A490" s="197">
        <v>828</v>
      </c>
      <c r="B490" s="197" t="s">
        <v>2241</v>
      </c>
      <c r="C490" s="197" t="s">
        <v>2242</v>
      </c>
      <c r="D490" s="197" t="s">
        <v>2241</v>
      </c>
      <c r="G490" s="197" t="s">
        <v>2241</v>
      </c>
      <c r="H490" s="197" t="s">
        <v>1859</v>
      </c>
    </row>
    <row r="491" spans="1:8" ht="15">
      <c r="A491" s="197">
        <v>829</v>
      </c>
      <c r="B491" s="197" t="s">
        <v>2243</v>
      </c>
      <c r="D491" s="197" t="s">
        <v>2243</v>
      </c>
      <c r="G491" s="197" t="s">
        <v>2243</v>
      </c>
      <c r="H491" s="197" t="s">
        <v>1639</v>
      </c>
    </row>
    <row r="492" spans="1:8" ht="15">
      <c r="A492" s="197">
        <v>830</v>
      </c>
      <c r="B492" s="197" t="s">
        <v>2244</v>
      </c>
      <c r="C492" s="197" t="s">
        <v>2245</v>
      </c>
      <c r="D492" s="197" t="s">
        <v>2244</v>
      </c>
      <c r="G492" s="197" t="s">
        <v>2244</v>
      </c>
      <c r="H492" s="197" t="s">
        <v>514</v>
      </c>
    </row>
    <row r="493" spans="1:8" ht="15">
      <c r="A493" s="197">
        <v>267</v>
      </c>
      <c r="B493" s="197" t="s">
        <v>2246</v>
      </c>
      <c r="C493" s="197" t="s">
        <v>2247</v>
      </c>
      <c r="D493" s="197" t="s">
        <v>2246</v>
      </c>
      <c r="G493" s="197" t="s">
        <v>2246</v>
      </c>
      <c r="H493" s="197" t="s">
        <v>1728</v>
      </c>
    </row>
    <row r="494" spans="1:8" ht="15">
      <c r="A494" s="197">
        <v>268</v>
      </c>
      <c r="B494" s="197" t="s">
        <v>2248</v>
      </c>
      <c r="C494" s="197" t="s">
        <v>2249</v>
      </c>
      <c r="D494" s="197" t="s">
        <v>2248</v>
      </c>
      <c r="G494" s="197" t="s">
        <v>2248</v>
      </c>
      <c r="H494" s="197" t="s">
        <v>624</v>
      </c>
    </row>
    <row r="495" spans="1:8" ht="15">
      <c r="A495" s="197">
        <v>831</v>
      </c>
      <c r="B495" s="197" t="s">
        <v>2250</v>
      </c>
      <c r="C495" s="197" t="s">
        <v>2251</v>
      </c>
      <c r="D495" s="197" t="s">
        <v>2250</v>
      </c>
      <c r="G495" s="197" t="s">
        <v>2250</v>
      </c>
      <c r="H495" s="197" t="s">
        <v>2014</v>
      </c>
    </row>
    <row r="496" spans="1:8" ht="15">
      <c r="A496" s="197">
        <v>832</v>
      </c>
      <c r="B496" s="197" t="s">
        <v>2252</v>
      </c>
      <c r="D496" s="197" t="s">
        <v>2252</v>
      </c>
      <c r="G496" s="197" t="s">
        <v>2252</v>
      </c>
      <c r="H496" s="197" t="s">
        <v>243</v>
      </c>
    </row>
    <row r="497" spans="1:8" ht="15">
      <c r="A497" s="197">
        <v>269</v>
      </c>
      <c r="B497" s="197" t="s">
        <v>2253</v>
      </c>
      <c r="C497" s="197" t="s">
        <v>2254</v>
      </c>
      <c r="D497" s="197" t="s">
        <v>2253</v>
      </c>
      <c r="G497" s="197" t="s">
        <v>2253</v>
      </c>
      <c r="H497" s="197" t="s">
        <v>1603</v>
      </c>
    </row>
    <row r="498" spans="1:8" ht="15">
      <c r="A498" s="197">
        <v>270</v>
      </c>
      <c r="B498" s="197" t="s">
        <v>2255</v>
      </c>
      <c r="C498" s="197" t="s">
        <v>2256</v>
      </c>
      <c r="D498" s="197" t="s">
        <v>2255</v>
      </c>
      <c r="G498" s="197" t="s">
        <v>2255</v>
      </c>
      <c r="H498" s="197" t="s">
        <v>732</v>
      </c>
    </row>
    <row r="499" spans="1:8" ht="15">
      <c r="A499" s="197">
        <v>624</v>
      </c>
      <c r="B499" s="197" t="s">
        <v>2257</v>
      </c>
      <c r="D499" s="197" t="s">
        <v>2257</v>
      </c>
      <c r="G499" s="197" t="s">
        <v>2257</v>
      </c>
      <c r="H499" s="197" t="s">
        <v>274</v>
      </c>
    </row>
    <row r="500" spans="1:8" ht="15">
      <c r="A500" s="197">
        <v>833</v>
      </c>
      <c r="B500" s="197" t="s">
        <v>2258</v>
      </c>
      <c r="D500" s="197" t="s">
        <v>2258</v>
      </c>
      <c r="G500" s="197" t="s">
        <v>2258</v>
      </c>
      <c r="H500" s="197" t="s">
        <v>439</v>
      </c>
    </row>
    <row r="501" spans="1:8" ht="15">
      <c r="A501" s="197">
        <v>271</v>
      </c>
      <c r="B501" s="197" t="s">
        <v>663</v>
      </c>
      <c r="C501" s="197" t="s">
        <v>2259</v>
      </c>
      <c r="D501" s="197" t="s">
        <v>663</v>
      </c>
      <c r="G501" s="197" t="s">
        <v>663</v>
      </c>
      <c r="H501" s="197" t="s">
        <v>33</v>
      </c>
    </row>
    <row r="502" spans="1:8" ht="15">
      <c r="A502" s="197">
        <v>272</v>
      </c>
      <c r="B502" s="197" t="s">
        <v>1202</v>
      </c>
      <c r="C502" s="197" t="s">
        <v>2260</v>
      </c>
      <c r="D502" s="197" t="s">
        <v>1202</v>
      </c>
      <c r="G502" s="197" t="s">
        <v>1202</v>
      </c>
      <c r="H502" s="197" t="s">
        <v>387</v>
      </c>
    </row>
    <row r="503" spans="1:8" ht="15">
      <c r="A503" s="197">
        <v>1074</v>
      </c>
      <c r="B503" s="197" t="s">
        <v>2261</v>
      </c>
      <c r="C503" s="197" t="s">
        <v>2262</v>
      </c>
      <c r="D503" s="197" t="s">
        <v>2261</v>
      </c>
      <c r="G503" s="197" t="s">
        <v>2261</v>
      </c>
      <c r="H503" s="197" t="s">
        <v>474</v>
      </c>
    </row>
    <row r="504" spans="1:8" ht="15">
      <c r="A504" s="197">
        <v>273</v>
      </c>
      <c r="B504" s="197" t="s">
        <v>2263</v>
      </c>
      <c r="D504" s="197" t="s">
        <v>2263</v>
      </c>
      <c r="G504" s="197" t="s">
        <v>2263</v>
      </c>
      <c r="H504" s="197" t="s">
        <v>2381</v>
      </c>
    </row>
    <row r="505" spans="1:8" ht="15">
      <c r="A505" s="197">
        <v>610</v>
      </c>
      <c r="B505" s="197" t="s">
        <v>2264</v>
      </c>
      <c r="C505" s="197" t="s">
        <v>2265</v>
      </c>
      <c r="D505" s="197" t="s">
        <v>2264</v>
      </c>
      <c r="G505" s="197" t="s">
        <v>2264</v>
      </c>
      <c r="H505" s="197" t="s">
        <v>449</v>
      </c>
    </row>
    <row r="506" spans="1:8" ht="15">
      <c r="A506" s="197">
        <v>1063</v>
      </c>
      <c r="B506" s="197" t="s">
        <v>2266</v>
      </c>
      <c r="D506" s="197" t="s">
        <v>2266</v>
      </c>
      <c r="G506" s="197" t="s">
        <v>2266</v>
      </c>
      <c r="H506" s="197" t="s">
        <v>2490</v>
      </c>
    </row>
    <row r="507" spans="1:8" ht="15">
      <c r="A507" s="197">
        <v>834</v>
      </c>
      <c r="B507" s="197" t="s">
        <v>2267</v>
      </c>
      <c r="D507" s="197" t="s">
        <v>2267</v>
      </c>
      <c r="G507" s="197" t="s">
        <v>2267</v>
      </c>
      <c r="H507" s="197" t="s">
        <v>1611</v>
      </c>
    </row>
    <row r="508" spans="1:8" ht="15">
      <c r="A508" s="197">
        <v>582</v>
      </c>
      <c r="B508" s="197" t="s">
        <v>2268</v>
      </c>
      <c r="C508" s="197" t="s">
        <v>2269</v>
      </c>
      <c r="D508" s="197" t="s">
        <v>2268</v>
      </c>
      <c r="G508" s="197" t="s">
        <v>2268</v>
      </c>
      <c r="H508" s="197" t="s">
        <v>2192</v>
      </c>
    </row>
    <row r="509" spans="1:8" ht="15">
      <c r="A509" s="197">
        <v>274</v>
      </c>
      <c r="B509" s="197" t="s">
        <v>750</v>
      </c>
      <c r="C509" s="197" t="s">
        <v>751</v>
      </c>
      <c r="D509" s="197" t="s">
        <v>750</v>
      </c>
      <c r="G509" s="197" t="s">
        <v>750</v>
      </c>
      <c r="H509" s="197" t="s">
        <v>2104</v>
      </c>
    </row>
    <row r="510" spans="1:8" ht="15">
      <c r="A510" s="197">
        <v>1061</v>
      </c>
      <c r="B510" s="197" t="s">
        <v>2270</v>
      </c>
      <c r="C510" s="197" t="s">
        <v>2271</v>
      </c>
      <c r="D510" s="197" t="s">
        <v>2270</v>
      </c>
      <c r="G510" s="197" t="s">
        <v>2270</v>
      </c>
      <c r="H510" s="197" t="s">
        <v>2155</v>
      </c>
    </row>
    <row r="511" spans="1:8" ht="15">
      <c r="A511" s="197">
        <v>684</v>
      </c>
      <c r="B511" s="197" t="s">
        <v>2272</v>
      </c>
      <c r="C511" s="197" t="s">
        <v>2273</v>
      </c>
      <c r="D511" s="197" t="s">
        <v>2272</v>
      </c>
      <c r="G511" s="197" t="s">
        <v>2272</v>
      </c>
      <c r="H511" s="197" t="s">
        <v>1607</v>
      </c>
    </row>
    <row r="512" spans="1:8" ht="15">
      <c r="A512" s="197">
        <v>835</v>
      </c>
      <c r="B512" s="197" t="s">
        <v>2274</v>
      </c>
      <c r="D512" s="197" t="s">
        <v>2274</v>
      </c>
      <c r="G512" s="197" t="s">
        <v>2274</v>
      </c>
      <c r="H512" s="197" t="s">
        <v>2010</v>
      </c>
    </row>
    <row r="513" spans="1:8" ht="15">
      <c r="A513" s="197">
        <v>275</v>
      </c>
      <c r="B513" s="197" t="s">
        <v>2275</v>
      </c>
      <c r="C513" s="197" t="s">
        <v>2276</v>
      </c>
      <c r="D513" s="197" t="s">
        <v>2275</v>
      </c>
      <c r="G513" s="197" t="s">
        <v>2275</v>
      </c>
      <c r="H513" s="197" t="s">
        <v>1627</v>
      </c>
    </row>
    <row r="514" spans="1:8" ht="15">
      <c r="A514" s="197">
        <v>836</v>
      </c>
      <c r="B514" s="197" t="s">
        <v>2277</v>
      </c>
      <c r="C514" s="197" t="s">
        <v>2278</v>
      </c>
      <c r="D514" s="197" t="s">
        <v>2277</v>
      </c>
      <c r="G514" s="197" t="s">
        <v>2277</v>
      </c>
      <c r="H514" s="197" t="s">
        <v>527</v>
      </c>
    </row>
    <row r="515" spans="1:8" ht="15">
      <c r="A515" s="197">
        <v>276</v>
      </c>
      <c r="B515" s="197" t="s">
        <v>752</v>
      </c>
      <c r="C515" s="197" t="s">
        <v>2279</v>
      </c>
      <c r="D515" s="197" t="s">
        <v>752</v>
      </c>
      <c r="G515" s="197" t="s">
        <v>752</v>
      </c>
      <c r="H515" s="197" t="s">
        <v>521</v>
      </c>
    </row>
    <row r="516" spans="1:8" ht="15">
      <c r="A516" s="197">
        <v>277</v>
      </c>
      <c r="B516" s="197" t="s">
        <v>2280</v>
      </c>
      <c r="C516" s="197" t="s">
        <v>2281</v>
      </c>
      <c r="D516" s="197" t="s">
        <v>2280</v>
      </c>
      <c r="G516" s="197" t="s">
        <v>2280</v>
      </c>
      <c r="H516" s="197" t="s">
        <v>776</v>
      </c>
    </row>
    <row r="517" spans="1:8" ht="15">
      <c r="A517" s="197">
        <v>278</v>
      </c>
      <c r="B517" s="197" t="s">
        <v>2282</v>
      </c>
      <c r="D517" s="197" t="s">
        <v>2282</v>
      </c>
      <c r="G517" s="197" t="s">
        <v>2282</v>
      </c>
      <c r="H517" s="197" t="s">
        <v>151</v>
      </c>
    </row>
    <row r="518" spans="1:8" ht="15">
      <c r="A518" s="197">
        <v>279</v>
      </c>
      <c r="B518" s="197" t="s">
        <v>2283</v>
      </c>
      <c r="D518" s="197" t="s">
        <v>2283</v>
      </c>
      <c r="G518" s="197" t="s">
        <v>2283</v>
      </c>
      <c r="H518" s="197" t="s">
        <v>2412</v>
      </c>
    </row>
    <row r="519" spans="1:8" ht="15">
      <c r="A519" s="197">
        <v>280</v>
      </c>
      <c r="B519" s="197" t="s">
        <v>2284</v>
      </c>
      <c r="C519" s="197" t="s">
        <v>2285</v>
      </c>
      <c r="D519" s="197" t="s">
        <v>2284</v>
      </c>
      <c r="G519" s="197" t="s">
        <v>2284</v>
      </c>
      <c r="H519" s="197" t="s">
        <v>1938</v>
      </c>
    </row>
    <row r="520" spans="1:8" ht="15">
      <c r="A520" s="197">
        <v>281</v>
      </c>
      <c r="B520" s="197" t="s">
        <v>2286</v>
      </c>
      <c r="D520" s="197" t="s">
        <v>2286</v>
      </c>
      <c r="G520" s="197" t="s">
        <v>2286</v>
      </c>
      <c r="H520" s="197" t="s">
        <v>2293</v>
      </c>
    </row>
    <row r="521" spans="1:8" ht="15">
      <c r="A521" s="197">
        <v>837</v>
      </c>
      <c r="B521" s="197" t="s">
        <v>2287</v>
      </c>
      <c r="D521" s="197" t="s">
        <v>2287</v>
      </c>
      <c r="G521" s="197" t="s">
        <v>2287</v>
      </c>
      <c r="H521" s="197" t="s">
        <v>1748</v>
      </c>
    </row>
    <row r="522" spans="1:8" ht="15">
      <c r="A522" s="197">
        <v>282</v>
      </c>
      <c r="B522" s="197" t="s">
        <v>2288</v>
      </c>
      <c r="C522" s="197" t="s">
        <v>2289</v>
      </c>
      <c r="D522" s="197" t="s">
        <v>2288</v>
      </c>
      <c r="G522" s="197" t="s">
        <v>2288</v>
      </c>
      <c r="H522" s="197" t="s">
        <v>533</v>
      </c>
    </row>
    <row r="523" spans="1:8" ht="15">
      <c r="A523" s="197">
        <v>1059</v>
      </c>
      <c r="B523" s="197" t="s">
        <v>2290</v>
      </c>
      <c r="D523" s="197" t="s">
        <v>2290</v>
      </c>
      <c r="G523" s="197" t="s">
        <v>2290</v>
      </c>
      <c r="H523" s="197" t="s">
        <v>1277</v>
      </c>
    </row>
    <row r="524" spans="1:8" ht="15">
      <c r="A524" s="197">
        <v>1082</v>
      </c>
      <c r="B524" s="197" t="s">
        <v>2291</v>
      </c>
      <c r="D524" s="197" t="s">
        <v>2291</v>
      </c>
      <c r="G524" s="197" t="s">
        <v>2291</v>
      </c>
      <c r="H524" s="197" t="s">
        <v>1223</v>
      </c>
    </row>
    <row r="525" spans="1:8" ht="15">
      <c r="A525" s="197">
        <v>562</v>
      </c>
      <c r="B525" s="197" t="s">
        <v>2292</v>
      </c>
      <c r="C525" s="197" t="s">
        <v>2293</v>
      </c>
      <c r="D525" s="197" t="s">
        <v>2292</v>
      </c>
      <c r="G525" s="197" t="s">
        <v>2292</v>
      </c>
      <c r="H525" s="197" t="s">
        <v>2060</v>
      </c>
    </row>
    <row r="526" spans="1:8" ht="15">
      <c r="A526" s="197">
        <v>838</v>
      </c>
      <c r="B526" s="197" t="s">
        <v>2294</v>
      </c>
      <c r="D526" s="197" t="s">
        <v>2294</v>
      </c>
      <c r="G526" s="197" t="s">
        <v>2294</v>
      </c>
      <c r="H526" s="197" t="s">
        <v>1730</v>
      </c>
    </row>
    <row r="527" spans="1:8" ht="15">
      <c r="A527" s="197">
        <v>283</v>
      </c>
      <c r="B527" s="197" t="s">
        <v>2295</v>
      </c>
      <c r="C527" s="197" t="s">
        <v>2296</v>
      </c>
      <c r="D527" s="197" t="s">
        <v>2295</v>
      </c>
      <c r="G527" s="197" t="s">
        <v>2295</v>
      </c>
      <c r="H527" s="197" t="s">
        <v>189</v>
      </c>
    </row>
    <row r="528" spans="1:8" ht="15">
      <c r="A528" s="197">
        <v>284</v>
      </c>
      <c r="B528" s="197" t="s">
        <v>2297</v>
      </c>
      <c r="C528" s="197" t="s">
        <v>2298</v>
      </c>
      <c r="D528" s="197" t="s">
        <v>2297</v>
      </c>
      <c r="G528" s="197" t="s">
        <v>2297</v>
      </c>
      <c r="H528" s="197" t="s">
        <v>1807</v>
      </c>
    </row>
    <row r="529" spans="1:8" ht="15">
      <c r="A529" s="197">
        <v>516</v>
      </c>
      <c r="B529" s="197" t="s">
        <v>2299</v>
      </c>
      <c r="D529" s="197" t="s">
        <v>2299</v>
      </c>
      <c r="G529" s="197" t="s">
        <v>2299</v>
      </c>
      <c r="H529" s="197" t="s">
        <v>1891</v>
      </c>
    </row>
    <row r="530" spans="1:8" ht="15">
      <c r="A530" s="197">
        <v>287</v>
      </c>
      <c r="B530" s="197" t="s">
        <v>2300</v>
      </c>
      <c r="C530" s="197" t="s">
        <v>2301</v>
      </c>
      <c r="D530" s="197" t="s">
        <v>2300</v>
      </c>
      <c r="G530" s="197" t="s">
        <v>2300</v>
      </c>
      <c r="H530" s="197" t="s">
        <v>1755</v>
      </c>
    </row>
    <row r="531" spans="1:8" ht="15">
      <c r="A531" s="197">
        <v>589</v>
      </c>
      <c r="B531" s="197" t="s">
        <v>2302</v>
      </c>
      <c r="D531" s="197" t="s">
        <v>2302</v>
      </c>
      <c r="G531" s="197" t="s">
        <v>2302</v>
      </c>
      <c r="H531" s="197" t="s">
        <v>1499</v>
      </c>
    </row>
    <row r="532" spans="1:8" ht="15">
      <c r="A532" s="197">
        <v>285</v>
      </c>
      <c r="B532" s="197" t="s">
        <v>2303</v>
      </c>
      <c r="D532" s="197" t="s">
        <v>2303</v>
      </c>
      <c r="G532" s="197" t="s">
        <v>2303</v>
      </c>
      <c r="H532" s="197" t="s">
        <v>576</v>
      </c>
    </row>
    <row r="533" spans="1:8" ht="15">
      <c r="A533" s="197">
        <v>286</v>
      </c>
      <c r="B533" s="197" t="s">
        <v>2304</v>
      </c>
      <c r="C533" s="197" t="s">
        <v>2305</v>
      </c>
      <c r="D533" s="197" t="s">
        <v>2304</v>
      </c>
      <c r="G533" s="197" t="s">
        <v>2304</v>
      </c>
      <c r="H533" s="197" t="s">
        <v>1778</v>
      </c>
    </row>
    <row r="534" spans="1:8" ht="15">
      <c r="A534" s="197">
        <v>839</v>
      </c>
      <c r="B534" s="197" t="s">
        <v>2306</v>
      </c>
      <c r="D534" s="197" t="s">
        <v>2306</v>
      </c>
      <c r="G534" s="197" t="s">
        <v>2306</v>
      </c>
      <c r="H534" s="197" t="s">
        <v>371</v>
      </c>
    </row>
    <row r="535" spans="1:8" ht="15">
      <c r="A535" s="197">
        <v>288</v>
      </c>
      <c r="B535" s="197" t="s">
        <v>2307</v>
      </c>
      <c r="C535" s="197" t="s">
        <v>2308</v>
      </c>
      <c r="D535" s="197" t="s">
        <v>2307</v>
      </c>
      <c r="G535" s="197" t="s">
        <v>2307</v>
      </c>
      <c r="H535" s="197" t="s">
        <v>698</v>
      </c>
    </row>
    <row r="536" spans="1:8" ht="15">
      <c r="A536" s="197">
        <v>840</v>
      </c>
      <c r="B536" s="197" t="s">
        <v>2309</v>
      </c>
      <c r="C536" s="197" t="s">
        <v>2310</v>
      </c>
      <c r="D536" s="197" t="s">
        <v>2309</v>
      </c>
      <c r="G536" s="197" t="s">
        <v>2309</v>
      </c>
      <c r="H536" s="197" t="s">
        <v>672</v>
      </c>
    </row>
    <row r="537" spans="1:8" ht="15">
      <c r="A537" s="197">
        <v>979</v>
      </c>
      <c r="B537" s="197" t="s">
        <v>2311</v>
      </c>
      <c r="D537" s="197" t="s">
        <v>2311</v>
      </c>
      <c r="G537" s="197" t="s">
        <v>2311</v>
      </c>
      <c r="H537" s="197" t="s">
        <v>228</v>
      </c>
    </row>
    <row r="538" spans="1:8" ht="15">
      <c r="A538" s="197">
        <v>289</v>
      </c>
      <c r="B538" s="197" t="s">
        <v>2312</v>
      </c>
      <c r="D538" s="197" t="s">
        <v>2312</v>
      </c>
      <c r="G538" s="197" t="s">
        <v>2312</v>
      </c>
      <c r="H538" s="197" t="s">
        <v>10</v>
      </c>
    </row>
    <row r="539" spans="1:8" ht="15">
      <c r="A539" s="197">
        <v>363</v>
      </c>
      <c r="B539" s="197" t="s">
        <v>2313</v>
      </c>
      <c r="C539" s="197" t="s">
        <v>2314</v>
      </c>
      <c r="D539" s="197" t="s">
        <v>2313</v>
      </c>
      <c r="G539" s="197" t="s">
        <v>2313</v>
      </c>
      <c r="H539" s="197" t="s">
        <v>1752</v>
      </c>
    </row>
    <row r="540" spans="1:8" ht="15">
      <c r="A540" s="197">
        <v>290</v>
      </c>
      <c r="B540" s="197" t="s">
        <v>2315</v>
      </c>
      <c r="C540" s="197" t="s">
        <v>2316</v>
      </c>
      <c r="D540" s="197" t="s">
        <v>2315</v>
      </c>
      <c r="G540" s="197" t="s">
        <v>2315</v>
      </c>
      <c r="H540" s="197" t="s">
        <v>1226</v>
      </c>
    </row>
    <row r="541" spans="1:8" ht="15">
      <c r="A541" s="197">
        <v>845</v>
      </c>
      <c r="B541" s="197" t="s">
        <v>2319</v>
      </c>
      <c r="C541" s="197" t="s">
        <v>2320</v>
      </c>
      <c r="D541" s="197" t="s">
        <v>2319</v>
      </c>
      <c r="G541" s="197" t="s">
        <v>2319</v>
      </c>
      <c r="H541" s="197" t="s">
        <v>1797</v>
      </c>
    </row>
    <row r="542" spans="1:8" ht="15">
      <c r="A542" s="197">
        <v>291</v>
      </c>
      <c r="B542" s="197" t="s">
        <v>1206</v>
      </c>
      <c r="C542" s="197" t="s">
        <v>1207</v>
      </c>
      <c r="D542" s="197" t="s">
        <v>1206</v>
      </c>
      <c r="G542" s="197" t="s">
        <v>1206</v>
      </c>
      <c r="H542" s="197" t="s">
        <v>389</v>
      </c>
    </row>
    <row r="543" spans="1:8" ht="15">
      <c r="A543" s="197">
        <v>846</v>
      </c>
      <c r="B543" s="197" t="s">
        <v>2321</v>
      </c>
      <c r="C543" s="197" t="s">
        <v>2322</v>
      </c>
      <c r="D543" s="197" t="s">
        <v>2321</v>
      </c>
      <c r="G543" s="197" t="s">
        <v>2321</v>
      </c>
      <c r="H543" s="197" t="s">
        <v>272</v>
      </c>
    </row>
    <row r="544" spans="1:8" ht="15">
      <c r="A544" s="197">
        <v>847</v>
      </c>
      <c r="B544" s="197" t="s">
        <v>2323</v>
      </c>
      <c r="C544" s="197" t="s">
        <v>2324</v>
      </c>
      <c r="D544" s="197" t="s">
        <v>2323</v>
      </c>
      <c r="G544" s="197" t="s">
        <v>2323</v>
      </c>
      <c r="H544" s="197" t="s">
        <v>668</v>
      </c>
    </row>
    <row r="545" spans="1:8" ht="15">
      <c r="A545" s="197">
        <v>415</v>
      </c>
      <c r="B545" s="197" t="s">
        <v>678</v>
      </c>
      <c r="C545" s="197" t="s">
        <v>679</v>
      </c>
      <c r="D545" s="197" t="s">
        <v>678</v>
      </c>
      <c r="G545" s="197" t="s">
        <v>678</v>
      </c>
      <c r="H545" s="197" t="s">
        <v>105</v>
      </c>
    </row>
    <row r="546" spans="1:8" ht="15">
      <c r="A546" s="197">
        <v>632</v>
      </c>
      <c r="B546" s="197" t="s">
        <v>2325</v>
      </c>
      <c r="C546" s="197" t="s">
        <v>2326</v>
      </c>
      <c r="D546" s="197" t="s">
        <v>2325</v>
      </c>
      <c r="G546" s="197" t="s">
        <v>2325</v>
      </c>
      <c r="H546" s="197" t="s">
        <v>1264</v>
      </c>
    </row>
    <row r="547" spans="1:8" ht="15">
      <c r="A547" s="197">
        <v>294</v>
      </c>
      <c r="B547" s="197" t="s">
        <v>2327</v>
      </c>
      <c r="C547" s="197" t="s">
        <v>2328</v>
      </c>
      <c r="D547" s="197" t="s">
        <v>2327</v>
      </c>
      <c r="G547" s="197" t="s">
        <v>2327</v>
      </c>
      <c r="H547" s="197" t="s">
        <v>2332</v>
      </c>
    </row>
    <row r="548" spans="1:8" ht="15">
      <c r="A548" s="197">
        <v>848</v>
      </c>
      <c r="B548" s="197" t="s">
        <v>2329</v>
      </c>
      <c r="C548" s="197" t="s">
        <v>2330</v>
      </c>
      <c r="D548" s="197" t="s">
        <v>2329</v>
      </c>
      <c r="G548" s="197" t="s">
        <v>2329</v>
      </c>
      <c r="H548" s="197" t="s">
        <v>1995</v>
      </c>
    </row>
    <row r="549" spans="1:8" ht="15">
      <c r="A549" s="197">
        <v>675</v>
      </c>
      <c r="B549" s="197" t="s">
        <v>2331</v>
      </c>
      <c r="C549" s="197" t="s">
        <v>2332</v>
      </c>
      <c r="D549" s="197" t="s">
        <v>2331</v>
      </c>
      <c r="G549" s="197" t="s">
        <v>2331</v>
      </c>
      <c r="H549" s="197" t="s">
        <v>1525</v>
      </c>
    </row>
    <row r="550" spans="1:8" ht="15">
      <c r="A550" s="197">
        <v>849</v>
      </c>
      <c r="B550" s="197" t="s">
        <v>2333</v>
      </c>
      <c r="C550" s="197" t="s">
        <v>2334</v>
      </c>
      <c r="D550" s="197" t="s">
        <v>2333</v>
      </c>
      <c r="G550" s="197" t="s">
        <v>2333</v>
      </c>
      <c r="H550" s="197" t="s">
        <v>1811</v>
      </c>
    </row>
    <row r="551" spans="1:8" ht="15">
      <c r="A551" s="197">
        <v>296</v>
      </c>
      <c r="B551" s="197" t="s">
        <v>673</v>
      </c>
      <c r="C551" s="197" t="s">
        <v>674</v>
      </c>
      <c r="D551" s="197" t="s">
        <v>673</v>
      </c>
      <c r="G551" s="197" t="s">
        <v>673</v>
      </c>
      <c r="H551" s="197" t="s">
        <v>2256</v>
      </c>
    </row>
    <row r="552" spans="1:8" ht="15">
      <c r="A552" s="197">
        <v>297</v>
      </c>
      <c r="B552" s="197" t="s">
        <v>2335</v>
      </c>
      <c r="D552" s="197" t="s">
        <v>2335</v>
      </c>
      <c r="G552" s="197" t="s">
        <v>2335</v>
      </c>
      <c r="H552" s="197" t="s">
        <v>81</v>
      </c>
    </row>
    <row r="553" spans="1:8" ht="15">
      <c r="A553" s="197">
        <v>1088</v>
      </c>
      <c r="B553" s="197" t="s">
        <v>2336</v>
      </c>
      <c r="C553" s="197" t="s">
        <v>2337</v>
      </c>
      <c r="D553" s="197" t="s">
        <v>2336</v>
      </c>
      <c r="G553" s="197" t="s">
        <v>2336</v>
      </c>
      <c r="H553" s="197" t="s">
        <v>37</v>
      </c>
    </row>
    <row r="554" spans="1:8" ht="15">
      <c r="A554" s="197">
        <v>298</v>
      </c>
      <c r="B554" s="197" t="s">
        <v>2338</v>
      </c>
      <c r="C554" s="197" t="s">
        <v>2339</v>
      </c>
      <c r="D554" s="197" t="s">
        <v>2338</v>
      </c>
      <c r="G554" s="197" t="s">
        <v>2338</v>
      </c>
      <c r="H554" s="197" t="s">
        <v>1965</v>
      </c>
    </row>
    <row r="555" spans="1:8" ht="15">
      <c r="A555" s="197">
        <v>850</v>
      </c>
      <c r="B555" s="197" t="s">
        <v>2340</v>
      </c>
      <c r="D555" s="197" t="s">
        <v>2340</v>
      </c>
      <c r="G555" s="197" t="s">
        <v>2340</v>
      </c>
      <c r="H555" s="197" t="s">
        <v>2498</v>
      </c>
    </row>
    <row r="556" spans="1:8" ht="15">
      <c r="A556" s="197">
        <v>299</v>
      </c>
      <c r="B556" s="197" t="s">
        <v>2341</v>
      </c>
      <c r="C556" s="197" t="s">
        <v>2342</v>
      </c>
      <c r="D556" s="197" t="s">
        <v>2341</v>
      </c>
      <c r="G556" s="197" t="s">
        <v>2341</v>
      </c>
      <c r="H556" s="197" t="s">
        <v>1997</v>
      </c>
    </row>
    <row r="557" spans="1:8" ht="15">
      <c r="A557" s="197">
        <v>300</v>
      </c>
      <c r="B557" s="197" t="s">
        <v>2343</v>
      </c>
      <c r="C557" s="197" t="s">
        <v>2344</v>
      </c>
      <c r="D557" s="197" t="s">
        <v>2343</v>
      </c>
      <c r="G557" s="197" t="s">
        <v>2343</v>
      </c>
      <c r="H557" s="197" t="s">
        <v>1790</v>
      </c>
    </row>
    <row r="558" spans="1:8" ht="15">
      <c r="A558" s="197">
        <v>305</v>
      </c>
      <c r="B558" s="197" t="s">
        <v>2345</v>
      </c>
      <c r="C558" s="197" t="s">
        <v>2346</v>
      </c>
      <c r="D558" s="197" t="s">
        <v>2345</v>
      </c>
      <c r="G558" s="197" t="s">
        <v>2345</v>
      </c>
      <c r="H558" s="197" t="s">
        <v>1926</v>
      </c>
    </row>
    <row r="559" spans="1:8" ht="15">
      <c r="A559" s="197">
        <v>301</v>
      </c>
      <c r="B559" s="197" t="s">
        <v>2347</v>
      </c>
      <c r="C559" s="197" t="s">
        <v>2348</v>
      </c>
      <c r="D559" s="197" t="s">
        <v>2347</v>
      </c>
      <c r="G559" s="197" t="s">
        <v>2347</v>
      </c>
      <c r="H559" s="197" t="s">
        <v>280</v>
      </c>
    </row>
    <row r="560" spans="1:8" ht="15">
      <c r="A560" s="197">
        <v>851</v>
      </c>
      <c r="B560" s="197" t="s">
        <v>2349</v>
      </c>
      <c r="D560" s="197" t="s">
        <v>2349</v>
      </c>
      <c r="G560" s="197" t="s">
        <v>2349</v>
      </c>
      <c r="H560" s="197" t="s">
        <v>2217</v>
      </c>
    </row>
    <row r="561" spans="1:8" ht="15">
      <c r="A561" s="197">
        <v>302</v>
      </c>
      <c r="B561" s="197" t="s">
        <v>2350</v>
      </c>
      <c r="D561" s="197" t="s">
        <v>2350</v>
      </c>
      <c r="G561" s="197" t="s">
        <v>2350</v>
      </c>
      <c r="H561" s="197" t="s">
        <v>1982</v>
      </c>
    </row>
    <row r="562" spans="1:8" ht="15">
      <c r="A562" s="197">
        <v>306</v>
      </c>
      <c r="B562" s="197" t="s">
        <v>2351</v>
      </c>
      <c r="C562" s="197" t="s">
        <v>2352</v>
      </c>
      <c r="D562" s="197" t="s">
        <v>2351</v>
      </c>
      <c r="G562" s="197" t="s">
        <v>2351</v>
      </c>
      <c r="H562" s="197" t="s">
        <v>86</v>
      </c>
    </row>
    <row r="563" spans="1:8" ht="15">
      <c r="A563" s="197">
        <v>852</v>
      </c>
      <c r="B563" s="197" t="s">
        <v>2353</v>
      </c>
      <c r="C563" s="197" t="s">
        <v>2354</v>
      </c>
      <c r="D563" s="197" t="s">
        <v>2353</v>
      </c>
      <c r="G563" s="197" t="s">
        <v>2353</v>
      </c>
      <c r="H563" s="197" t="s">
        <v>172</v>
      </c>
    </row>
    <row r="564" spans="1:8" ht="15">
      <c r="A564" s="197">
        <v>304</v>
      </c>
      <c r="B564" s="197" t="s">
        <v>2355</v>
      </c>
      <c r="D564" s="197" t="s">
        <v>2355</v>
      </c>
      <c r="G564" s="197" t="s">
        <v>2355</v>
      </c>
      <c r="H564" s="197" t="s">
        <v>57</v>
      </c>
    </row>
    <row r="565" spans="1:8" ht="15">
      <c r="A565" s="197">
        <v>853</v>
      </c>
      <c r="B565" s="197" t="s">
        <v>2356</v>
      </c>
      <c r="C565" s="197" t="s">
        <v>2357</v>
      </c>
      <c r="D565" s="197" t="s">
        <v>2356</v>
      </c>
      <c r="G565" s="197" t="s">
        <v>2356</v>
      </c>
      <c r="H565" s="197" t="s">
        <v>1837</v>
      </c>
    </row>
    <row r="566" spans="1:8" ht="15">
      <c r="A566" s="197">
        <v>1085</v>
      </c>
      <c r="B566" s="197" t="s">
        <v>2358</v>
      </c>
      <c r="C566" s="197" t="s">
        <v>2359</v>
      </c>
      <c r="D566" s="197" t="s">
        <v>2358</v>
      </c>
      <c r="G566" s="197" t="s">
        <v>2358</v>
      </c>
      <c r="H566" s="197" t="s">
        <v>2188</v>
      </c>
    </row>
    <row r="567" spans="1:8" ht="15">
      <c r="A567" s="197">
        <v>303</v>
      </c>
      <c r="B567" s="197" t="s">
        <v>2360</v>
      </c>
      <c r="C567" s="197" t="s">
        <v>2361</v>
      </c>
      <c r="D567" s="197" t="s">
        <v>2360</v>
      </c>
      <c r="G567" s="197" t="s">
        <v>2360</v>
      </c>
      <c r="H567" s="197" t="s">
        <v>2548</v>
      </c>
    </row>
    <row r="568" spans="1:8" ht="15">
      <c r="A568" s="197">
        <v>854</v>
      </c>
      <c r="B568" s="197" t="s">
        <v>2362</v>
      </c>
      <c r="C568" s="197" t="s">
        <v>2363</v>
      </c>
      <c r="D568" s="197" t="s">
        <v>2362</v>
      </c>
      <c r="G568" s="197" t="s">
        <v>2362</v>
      </c>
      <c r="H568" s="197" t="s">
        <v>92</v>
      </c>
    </row>
    <row r="569" spans="1:8" ht="15">
      <c r="A569" s="197">
        <v>855</v>
      </c>
      <c r="B569" s="197" t="s">
        <v>2364</v>
      </c>
      <c r="C569" s="197" t="s">
        <v>2365</v>
      </c>
      <c r="D569" s="197" t="s">
        <v>2364</v>
      </c>
      <c r="G569" s="197" t="s">
        <v>2364</v>
      </c>
      <c r="H569" s="197" t="s">
        <v>174</v>
      </c>
    </row>
    <row r="570" spans="1:8" ht="15">
      <c r="A570" s="197">
        <v>1075</v>
      </c>
      <c r="B570" s="197" t="s">
        <v>2366</v>
      </c>
      <c r="C570" s="197" t="s">
        <v>2367</v>
      </c>
      <c r="D570" s="197" t="s">
        <v>2366</v>
      </c>
      <c r="G570" s="197" t="s">
        <v>2366</v>
      </c>
      <c r="H570" s="197" t="s">
        <v>114</v>
      </c>
    </row>
    <row r="571" spans="1:8" ht="15">
      <c r="A571" s="197">
        <v>1038</v>
      </c>
      <c r="B571" s="197" t="s">
        <v>2368</v>
      </c>
      <c r="D571" s="197" t="s">
        <v>2368</v>
      </c>
      <c r="G571" s="197" t="s">
        <v>2368</v>
      </c>
      <c r="H571" s="197" t="s">
        <v>1325</v>
      </c>
    </row>
    <row r="572" spans="1:8" ht="15">
      <c r="A572" s="197">
        <v>856</v>
      </c>
      <c r="B572" s="197" t="s">
        <v>2369</v>
      </c>
      <c r="D572" s="197" t="s">
        <v>2369</v>
      </c>
      <c r="G572" s="197" t="s">
        <v>2369</v>
      </c>
      <c r="H572" s="197" t="s">
        <v>1228</v>
      </c>
    </row>
    <row r="573" spans="1:8" ht="15">
      <c r="A573" s="197">
        <v>307</v>
      </c>
      <c r="B573" s="197" t="s">
        <v>805</v>
      </c>
      <c r="C573" s="197" t="s">
        <v>806</v>
      </c>
      <c r="D573" s="197" t="s">
        <v>805</v>
      </c>
      <c r="G573" s="197" t="s">
        <v>805</v>
      </c>
      <c r="H573" s="197" t="s">
        <v>2346</v>
      </c>
    </row>
    <row r="574" spans="1:8" ht="15">
      <c r="A574" s="197">
        <v>308</v>
      </c>
      <c r="B574" s="197" t="s">
        <v>2370</v>
      </c>
      <c r="C574" s="197" t="s">
        <v>2371</v>
      </c>
      <c r="D574" s="197" t="s">
        <v>2370</v>
      </c>
      <c r="G574" s="197" t="s">
        <v>2370</v>
      </c>
      <c r="H574" s="197" t="s">
        <v>2123</v>
      </c>
    </row>
    <row r="575" spans="1:8" ht="15">
      <c r="A575" s="197">
        <v>611</v>
      </c>
      <c r="B575" s="197" t="s">
        <v>758</v>
      </c>
      <c r="C575" s="197" t="s">
        <v>759</v>
      </c>
      <c r="D575" s="197" t="s">
        <v>758</v>
      </c>
      <c r="G575" s="197" t="s">
        <v>758</v>
      </c>
      <c r="H575" s="197" t="s">
        <v>2002</v>
      </c>
    </row>
    <row r="576" spans="1:8" ht="15">
      <c r="A576" s="197">
        <v>312</v>
      </c>
      <c r="B576" s="197" t="s">
        <v>2372</v>
      </c>
      <c r="C576" s="197" t="s">
        <v>2373</v>
      </c>
      <c r="D576" s="197" t="s">
        <v>2372</v>
      </c>
      <c r="G576" s="197" t="s">
        <v>2372</v>
      </c>
      <c r="H576" s="197" t="s">
        <v>2232</v>
      </c>
    </row>
    <row r="577" spans="1:8" ht="15">
      <c r="A577" s="197">
        <v>315</v>
      </c>
      <c r="B577" s="197" t="s">
        <v>2374</v>
      </c>
      <c r="C577" s="197" t="s">
        <v>2375</v>
      </c>
      <c r="D577" s="197" t="s">
        <v>2374</v>
      </c>
      <c r="G577" s="197" t="s">
        <v>2374</v>
      </c>
      <c r="H577" s="197" t="s">
        <v>1648</v>
      </c>
    </row>
    <row r="578" spans="1:8" ht="15">
      <c r="A578" s="197">
        <v>612</v>
      </c>
      <c r="B578" s="197" t="s">
        <v>2376</v>
      </c>
      <c r="C578" s="197" t="s">
        <v>2377</v>
      </c>
      <c r="D578" s="197" t="s">
        <v>2376</v>
      </c>
      <c r="G578" s="197" t="s">
        <v>2376</v>
      </c>
      <c r="H578" s="197" t="s">
        <v>2259</v>
      </c>
    </row>
    <row r="579" spans="1:8" ht="15">
      <c r="A579" s="197">
        <v>313</v>
      </c>
      <c r="B579" s="197" t="s">
        <v>2378</v>
      </c>
      <c r="C579" s="197" t="s">
        <v>2379</v>
      </c>
      <c r="D579" s="197" t="s">
        <v>2378</v>
      </c>
      <c r="G579" s="197" t="s">
        <v>2378</v>
      </c>
      <c r="H579" s="197" t="s">
        <v>138</v>
      </c>
    </row>
    <row r="580" spans="1:8" ht="15">
      <c r="A580" s="197">
        <v>314</v>
      </c>
      <c r="B580" s="197" t="s">
        <v>2380</v>
      </c>
      <c r="C580" s="197" t="s">
        <v>2381</v>
      </c>
      <c r="D580" s="197" t="s">
        <v>2380</v>
      </c>
      <c r="G580" s="197" t="s">
        <v>2380</v>
      </c>
      <c r="H580" s="197" t="s">
        <v>309</v>
      </c>
    </row>
    <row r="581" spans="1:8" ht="15">
      <c r="A581" s="197">
        <v>857</v>
      </c>
      <c r="B581" s="197" t="s">
        <v>2382</v>
      </c>
      <c r="D581" s="197" t="s">
        <v>2382</v>
      </c>
      <c r="G581" s="197" t="s">
        <v>2382</v>
      </c>
      <c r="H581" s="197" t="s">
        <v>2308</v>
      </c>
    </row>
    <row r="582" spans="1:8" ht="15">
      <c r="A582" s="197">
        <v>1078</v>
      </c>
      <c r="B582" s="197" t="s">
        <v>2383</v>
      </c>
      <c r="D582" s="197" t="s">
        <v>2383</v>
      </c>
      <c r="G582" s="197" t="s">
        <v>2383</v>
      </c>
      <c r="H582" s="197" t="s">
        <v>343</v>
      </c>
    </row>
    <row r="583" spans="1:8" ht="15">
      <c r="A583" s="197">
        <v>316</v>
      </c>
      <c r="B583" s="197" t="s">
        <v>2384</v>
      </c>
      <c r="C583" s="197" t="s">
        <v>2385</v>
      </c>
      <c r="D583" s="197" t="s">
        <v>2384</v>
      </c>
      <c r="G583" s="197" t="s">
        <v>2384</v>
      </c>
      <c r="H583" s="197" t="s">
        <v>699</v>
      </c>
    </row>
    <row r="584" spans="1:8" ht="15">
      <c r="A584" s="197">
        <v>858</v>
      </c>
      <c r="B584" s="197" t="s">
        <v>2386</v>
      </c>
      <c r="D584" s="197" t="s">
        <v>2386</v>
      </c>
      <c r="G584" s="197" t="s">
        <v>2386</v>
      </c>
      <c r="H584" s="197" t="s">
        <v>2375</v>
      </c>
    </row>
    <row r="585" spans="1:8" ht="15">
      <c r="A585" s="197">
        <v>318</v>
      </c>
      <c r="B585" s="197" t="s">
        <v>2387</v>
      </c>
      <c r="C585" s="197" t="s">
        <v>2388</v>
      </c>
      <c r="D585" s="197" t="s">
        <v>2387</v>
      </c>
      <c r="G585" s="197" t="s">
        <v>2387</v>
      </c>
      <c r="H585" s="197" t="s">
        <v>2354</v>
      </c>
    </row>
    <row r="586" spans="1:8" ht="15">
      <c r="A586" s="197">
        <v>319</v>
      </c>
      <c r="B586" s="197" t="s">
        <v>777</v>
      </c>
      <c r="C586" s="197" t="s">
        <v>1233</v>
      </c>
      <c r="D586" s="197" t="s">
        <v>777</v>
      </c>
      <c r="G586" s="197" t="s">
        <v>777</v>
      </c>
      <c r="H586" s="197" t="s">
        <v>2320</v>
      </c>
    </row>
    <row r="587" spans="1:8" ht="15">
      <c r="A587" s="197">
        <v>320</v>
      </c>
      <c r="B587" s="197" t="s">
        <v>778</v>
      </c>
      <c r="C587" s="197" t="s">
        <v>1234</v>
      </c>
      <c r="D587" s="197" t="s">
        <v>778</v>
      </c>
      <c r="G587" s="197" t="s">
        <v>778</v>
      </c>
      <c r="H587" s="197" t="s">
        <v>248</v>
      </c>
    </row>
    <row r="588" spans="1:8" ht="15">
      <c r="A588" s="197">
        <v>317</v>
      </c>
      <c r="B588" s="197" t="s">
        <v>1254</v>
      </c>
      <c r="C588" s="197" t="s">
        <v>1232</v>
      </c>
      <c r="D588" s="197" t="s">
        <v>1254</v>
      </c>
      <c r="G588" s="197" t="s">
        <v>1254</v>
      </c>
      <c r="H588" s="197" t="s">
        <v>674</v>
      </c>
    </row>
    <row r="589" spans="1:8" ht="15">
      <c r="A589" s="197">
        <v>635</v>
      </c>
      <c r="B589" s="197" t="s">
        <v>2389</v>
      </c>
      <c r="C589" s="197" t="s">
        <v>2390</v>
      </c>
      <c r="D589" s="197" t="s">
        <v>2389</v>
      </c>
      <c r="G589" s="197" t="s">
        <v>2389</v>
      </c>
      <c r="H589" s="197" t="s">
        <v>2460</v>
      </c>
    </row>
    <row r="590" spans="1:8" ht="15">
      <c r="A590" s="197">
        <v>321</v>
      </c>
      <c r="B590" s="197" t="s">
        <v>2391</v>
      </c>
      <c r="C590" s="197" t="s">
        <v>2392</v>
      </c>
      <c r="D590" s="197" t="s">
        <v>2391</v>
      </c>
      <c r="G590" s="197" t="s">
        <v>2391</v>
      </c>
      <c r="H590" s="197" t="s">
        <v>140</v>
      </c>
    </row>
    <row r="591" spans="1:8" ht="15">
      <c r="A591" s="197">
        <v>322</v>
      </c>
      <c r="B591" s="197" t="s">
        <v>2393</v>
      </c>
      <c r="C591" s="197" t="s">
        <v>2394</v>
      </c>
      <c r="D591" s="197" t="s">
        <v>2393</v>
      </c>
      <c r="G591" s="197" t="s">
        <v>2393</v>
      </c>
      <c r="H591" s="197" t="s">
        <v>1583</v>
      </c>
    </row>
    <row r="592" spans="1:8" ht="15">
      <c r="A592" s="197">
        <v>859</v>
      </c>
      <c r="B592" s="197" t="s">
        <v>2395</v>
      </c>
      <c r="C592" s="197" t="s">
        <v>2396</v>
      </c>
      <c r="D592" s="197" t="s">
        <v>2395</v>
      </c>
      <c r="G592" s="197" t="s">
        <v>2395</v>
      </c>
      <c r="H592" s="197" t="s">
        <v>116</v>
      </c>
    </row>
    <row r="593" spans="1:8" ht="15">
      <c r="A593" s="197">
        <v>860</v>
      </c>
      <c r="B593" s="197" t="s">
        <v>2397</v>
      </c>
      <c r="D593" s="197" t="s">
        <v>2397</v>
      </c>
      <c r="G593" s="197" t="s">
        <v>2397</v>
      </c>
      <c r="H593" s="197" t="s">
        <v>2225</v>
      </c>
    </row>
    <row r="594" spans="1:8" ht="15">
      <c r="A594" s="197">
        <v>323</v>
      </c>
      <c r="B594" s="197" t="s">
        <v>2398</v>
      </c>
      <c r="C594" s="197" t="s">
        <v>2399</v>
      </c>
      <c r="D594" s="197" t="s">
        <v>2398</v>
      </c>
      <c r="G594" s="197" t="s">
        <v>2398</v>
      </c>
      <c r="H594" s="197" t="s">
        <v>183</v>
      </c>
    </row>
    <row r="595" spans="1:8" ht="15">
      <c r="A595" s="197">
        <v>331</v>
      </c>
      <c r="B595" s="197" t="s">
        <v>2400</v>
      </c>
      <c r="C595" s="197" t="s">
        <v>2401</v>
      </c>
      <c r="D595" s="197" t="s">
        <v>2400</v>
      </c>
      <c r="G595" s="197" t="s">
        <v>2400</v>
      </c>
      <c r="H595" s="197" t="s">
        <v>1707</v>
      </c>
    </row>
    <row r="596" spans="1:8" ht="15">
      <c r="A596" s="197">
        <v>324</v>
      </c>
      <c r="B596" s="197" t="s">
        <v>2402</v>
      </c>
      <c r="C596" s="197" t="s">
        <v>2403</v>
      </c>
      <c r="D596" s="197" t="s">
        <v>2402</v>
      </c>
      <c r="G596" s="197" t="s">
        <v>2402</v>
      </c>
      <c r="H596" s="197" t="s">
        <v>2379</v>
      </c>
    </row>
    <row r="597" spans="1:8" ht="15">
      <c r="A597" s="197">
        <v>861</v>
      </c>
      <c r="B597" s="197" t="s">
        <v>2404</v>
      </c>
      <c r="C597" s="197" t="s">
        <v>2405</v>
      </c>
      <c r="D597" s="197" t="s">
        <v>2404</v>
      </c>
      <c r="G597" s="197" t="s">
        <v>2404</v>
      </c>
      <c r="H597" s="197" t="s">
        <v>2204</v>
      </c>
    </row>
    <row r="598" spans="1:8" ht="15">
      <c r="A598" s="197">
        <v>325</v>
      </c>
      <c r="B598" s="197" t="s">
        <v>1322</v>
      </c>
      <c r="C598" s="197" t="s">
        <v>1323</v>
      </c>
      <c r="D598" s="197" t="s">
        <v>1322</v>
      </c>
      <c r="G598" s="197" t="s">
        <v>1322</v>
      </c>
      <c r="H598" s="197" t="s">
        <v>1641</v>
      </c>
    </row>
    <row r="599" spans="1:8" ht="15">
      <c r="A599" s="197">
        <v>327</v>
      </c>
      <c r="B599" s="197" t="s">
        <v>1326</v>
      </c>
      <c r="C599" s="197" t="s">
        <v>1327</v>
      </c>
      <c r="D599" s="197" t="s">
        <v>1326</v>
      </c>
      <c r="G599" s="197" t="s">
        <v>1326</v>
      </c>
      <c r="H599" s="197" t="s">
        <v>482</v>
      </c>
    </row>
    <row r="600" spans="1:8" ht="15">
      <c r="A600" s="197">
        <v>601</v>
      </c>
      <c r="B600" s="197" t="s">
        <v>2406</v>
      </c>
      <c r="C600" s="197" t="s">
        <v>1325</v>
      </c>
      <c r="D600" s="197" t="s">
        <v>2406</v>
      </c>
      <c r="G600" s="197" t="s">
        <v>2406</v>
      </c>
      <c r="H600" s="197" t="s">
        <v>301</v>
      </c>
    </row>
    <row r="601" spans="1:8" ht="15">
      <c r="A601" s="197">
        <v>862</v>
      </c>
      <c r="B601" s="197" t="s">
        <v>2407</v>
      </c>
      <c r="C601" s="197" t="s">
        <v>2408</v>
      </c>
      <c r="D601" s="197" t="s">
        <v>2407</v>
      </c>
      <c r="G601" s="197" t="s">
        <v>2407</v>
      </c>
      <c r="H601" s="197" t="s">
        <v>709</v>
      </c>
    </row>
    <row r="602" spans="1:8" ht="15">
      <c r="A602" s="197">
        <v>676</v>
      </c>
      <c r="B602" s="197" t="s">
        <v>2409</v>
      </c>
      <c r="C602" s="197" t="s">
        <v>2410</v>
      </c>
      <c r="D602" s="197" t="s">
        <v>2409</v>
      </c>
      <c r="G602" s="197" t="s">
        <v>2409</v>
      </c>
      <c r="H602" s="197" t="s">
        <v>2394</v>
      </c>
    </row>
    <row r="603" spans="1:8" ht="15">
      <c r="A603" s="197">
        <v>332</v>
      </c>
      <c r="B603" s="197" t="s">
        <v>2411</v>
      </c>
      <c r="C603" s="197" t="s">
        <v>2412</v>
      </c>
      <c r="D603" s="197" t="s">
        <v>2411</v>
      </c>
      <c r="G603" s="197" t="s">
        <v>2411</v>
      </c>
      <c r="H603" s="197" t="s">
        <v>1609</v>
      </c>
    </row>
    <row r="604" spans="1:8" ht="15">
      <c r="A604" s="197">
        <v>863</v>
      </c>
      <c r="B604" s="197" t="s">
        <v>2413</v>
      </c>
      <c r="C604" s="197" t="s">
        <v>2414</v>
      </c>
      <c r="D604" s="197" t="s">
        <v>2413</v>
      </c>
      <c r="G604" s="197" t="s">
        <v>2413</v>
      </c>
      <c r="H604" s="197" t="s">
        <v>1764</v>
      </c>
    </row>
    <row r="605" spans="1:8" ht="15">
      <c r="A605" s="197">
        <v>595</v>
      </c>
      <c r="B605" s="197" t="s">
        <v>2415</v>
      </c>
      <c r="C605" s="197" t="s">
        <v>2416</v>
      </c>
      <c r="D605" s="197" t="s">
        <v>2415</v>
      </c>
      <c r="G605" s="197" t="s">
        <v>2415</v>
      </c>
      <c r="H605" s="197" t="s">
        <v>69</v>
      </c>
    </row>
    <row r="606" spans="1:8" ht="15">
      <c r="A606" s="197">
        <v>1077</v>
      </c>
      <c r="B606" s="197" t="s">
        <v>2417</v>
      </c>
      <c r="D606" s="197" t="s">
        <v>2417</v>
      </c>
      <c r="G606" s="197" t="s">
        <v>2417</v>
      </c>
      <c r="H606" s="197" t="s">
        <v>1689</v>
      </c>
    </row>
    <row r="607" spans="1:8" ht="15">
      <c r="A607" s="197">
        <v>333</v>
      </c>
      <c r="B607" s="197" t="s">
        <v>2418</v>
      </c>
      <c r="D607" s="197" t="s">
        <v>2418</v>
      </c>
      <c r="G607" s="197" t="s">
        <v>2418</v>
      </c>
      <c r="H607" s="197" t="s">
        <v>230</v>
      </c>
    </row>
    <row r="608" spans="1:8" ht="15">
      <c r="A608" s="197">
        <v>1076</v>
      </c>
      <c r="B608" s="197" t="s">
        <v>2419</v>
      </c>
      <c r="C608" s="197" t="s">
        <v>2420</v>
      </c>
      <c r="D608" s="197" t="s">
        <v>2419</v>
      </c>
      <c r="G608" s="197" t="s">
        <v>2419</v>
      </c>
      <c r="H608" s="197" t="s">
        <v>144</v>
      </c>
    </row>
    <row r="609" spans="1:8" ht="15">
      <c r="A609" s="197">
        <v>1041</v>
      </c>
      <c r="B609" s="197" t="s">
        <v>2421</v>
      </c>
      <c r="C609" s="197" t="s">
        <v>2422</v>
      </c>
      <c r="D609" s="197" t="s">
        <v>2421</v>
      </c>
      <c r="G609" s="197" t="s">
        <v>2421</v>
      </c>
      <c r="H609" s="197" t="s">
        <v>2040</v>
      </c>
    </row>
    <row r="610" spans="1:8" ht="15">
      <c r="A610" s="197">
        <v>694</v>
      </c>
      <c r="B610" s="197" t="s">
        <v>2423</v>
      </c>
      <c r="C610" s="197" t="s">
        <v>2424</v>
      </c>
      <c r="D610" s="197" t="s">
        <v>2423</v>
      </c>
      <c r="G610" s="197" t="s">
        <v>2423</v>
      </c>
      <c r="H610" s="197" t="s">
        <v>451</v>
      </c>
    </row>
    <row r="611" spans="1:8" ht="15">
      <c r="A611" s="197">
        <v>334</v>
      </c>
      <c r="B611" s="197" t="s">
        <v>2425</v>
      </c>
      <c r="C611" s="197" t="s">
        <v>2426</v>
      </c>
      <c r="D611" s="197" t="s">
        <v>2425</v>
      </c>
      <c r="G611" s="197" t="s">
        <v>2425</v>
      </c>
      <c r="H611" s="197" t="s">
        <v>1861</v>
      </c>
    </row>
    <row r="612" spans="1:8" ht="15">
      <c r="A612" s="197">
        <v>864</v>
      </c>
      <c r="B612" s="197" t="s">
        <v>2427</v>
      </c>
      <c r="C612" s="197" t="s">
        <v>2428</v>
      </c>
      <c r="D612" s="197" t="s">
        <v>2427</v>
      </c>
      <c r="G612" s="197" t="s">
        <v>2427</v>
      </c>
      <c r="H612" s="197" t="s">
        <v>2221</v>
      </c>
    </row>
    <row r="613" spans="1:8" ht="15">
      <c r="A613" s="197">
        <v>865</v>
      </c>
      <c r="B613" s="197" t="s">
        <v>2429</v>
      </c>
      <c r="C613" s="197" t="s">
        <v>2430</v>
      </c>
      <c r="D613" s="197" t="s">
        <v>2429</v>
      </c>
      <c r="G613" s="197" t="s">
        <v>2429</v>
      </c>
      <c r="H613" s="197" t="s">
        <v>53</v>
      </c>
    </row>
    <row r="614" spans="1:8" ht="15">
      <c r="A614" s="197">
        <v>1080</v>
      </c>
      <c r="B614" s="197" t="s">
        <v>2431</v>
      </c>
      <c r="C614" s="197" t="s">
        <v>2432</v>
      </c>
      <c r="D614" s="197" t="s">
        <v>2431</v>
      </c>
      <c r="G614" s="197" t="s">
        <v>2431</v>
      </c>
      <c r="H614" s="197" t="s">
        <v>2100</v>
      </c>
    </row>
    <row r="615" spans="1:8" ht="15">
      <c r="A615" s="197">
        <v>338</v>
      </c>
      <c r="B615" s="197" t="s">
        <v>731</v>
      </c>
      <c r="C615" s="197" t="s">
        <v>732</v>
      </c>
      <c r="D615" s="197" t="s">
        <v>731</v>
      </c>
      <c r="G615" s="197" t="s">
        <v>731</v>
      </c>
      <c r="H615" s="197" t="s">
        <v>2182</v>
      </c>
    </row>
    <row r="616" spans="1:8" ht="15">
      <c r="A616" s="197">
        <v>1092</v>
      </c>
      <c r="B616" s="197" t="s">
        <v>2433</v>
      </c>
      <c r="C616" s="197" t="s">
        <v>2434</v>
      </c>
      <c r="D616" s="197" t="s">
        <v>2433</v>
      </c>
      <c r="G616" s="197" t="s">
        <v>2433</v>
      </c>
      <c r="H616" s="197" t="s">
        <v>2173</v>
      </c>
    </row>
    <row r="617" spans="1:8" ht="15">
      <c r="A617" s="197">
        <v>1083</v>
      </c>
      <c r="B617" s="197" t="s">
        <v>2435</v>
      </c>
      <c r="C617" s="197" t="s">
        <v>2436</v>
      </c>
      <c r="D617" s="197" t="s">
        <v>2435</v>
      </c>
      <c r="G617" s="197" t="s">
        <v>2435</v>
      </c>
      <c r="H617" s="197" t="s">
        <v>2</v>
      </c>
    </row>
    <row r="618" spans="1:8" ht="15">
      <c r="A618" s="197">
        <v>339</v>
      </c>
      <c r="B618" s="197" t="s">
        <v>733</v>
      </c>
      <c r="C618" s="197" t="s">
        <v>734</v>
      </c>
      <c r="D618" s="197" t="s">
        <v>733</v>
      </c>
      <c r="G618" s="197" t="s">
        <v>733</v>
      </c>
      <c r="H618" s="197" t="s">
        <v>1598</v>
      </c>
    </row>
    <row r="619" spans="1:8" ht="15">
      <c r="A619" s="197">
        <v>344</v>
      </c>
      <c r="B619" s="197" t="s">
        <v>2437</v>
      </c>
      <c r="C619" s="197" t="s">
        <v>2438</v>
      </c>
      <c r="D619" s="197" t="s">
        <v>2437</v>
      </c>
      <c r="G619" s="197" t="s">
        <v>2437</v>
      </c>
      <c r="H619" s="197" t="s">
        <v>199</v>
      </c>
    </row>
    <row r="620" spans="1:8" ht="15">
      <c r="A620" s="197">
        <v>341</v>
      </c>
      <c r="B620" s="197" t="s">
        <v>2439</v>
      </c>
      <c r="C620" s="197" t="s">
        <v>2440</v>
      </c>
      <c r="D620" s="197" t="s">
        <v>2439</v>
      </c>
      <c r="G620" s="197" t="s">
        <v>2439</v>
      </c>
      <c r="H620" s="197" t="s">
        <v>1709</v>
      </c>
    </row>
    <row r="621" spans="1:8" ht="15">
      <c r="A621" s="197">
        <v>342</v>
      </c>
      <c r="B621" s="197" t="s">
        <v>2441</v>
      </c>
      <c r="C621" s="197" t="s">
        <v>2442</v>
      </c>
      <c r="D621" s="197" t="s">
        <v>2441</v>
      </c>
      <c r="G621" s="197" t="s">
        <v>2441</v>
      </c>
      <c r="H621" s="197" t="s">
        <v>2432</v>
      </c>
    </row>
    <row r="622" spans="1:8" ht="15">
      <c r="A622" s="197">
        <v>343</v>
      </c>
      <c r="B622" s="197" t="s">
        <v>2443</v>
      </c>
      <c r="C622" s="197" t="s">
        <v>2444</v>
      </c>
      <c r="D622" s="197" t="s">
        <v>2443</v>
      </c>
      <c r="G622" s="197" t="s">
        <v>2443</v>
      </c>
      <c r="H622" s="197" t="s">
        <v>2273</v>
      </c>
    </row>
    <row r="623" spans="1:8" ht="15">
      <c r="A623" s="197">
        <v>634</v>
      </c>
      <c r="B623" s="197" t="s">
        <v>2445</v>
      </c>
      <c r="C623" s="197" t="s">
        <v>2446</v>
      </c>
      <c r="D623" s="197" t="s">
        <v>2445</v>
      </c>
      <c r="G623" s="197" t="s">
        <v>2445</v>
      </c>
      <c r="H623" s="197" t="s">
        <v>293</v>
      </c>
    </row>
    <row r="624" spans="1:8" ht="15">
      <c r="A624" s="197">
        <v>866</v>
      </c>
      <c r="B624" s="197" t="s">
        <v>2447</v>
      </c>
      <c r="C624" s="197" t="s">
        <v>2448</v>
      </c>
      <c r="D624" s="197" t="s">
        <v>2447</v>
      </c>
      <c r="G624" s="197" t="s">
        <v>2447</v>
      </c>
      <c r="H624" s="197" t="s">
        <v>2448</v>
      </c>
    </row>
    <row r="625" spans="1:8" ht="15">
      <c r="A625" s="197">
        <v>340</v>
      </c>
      <c r="B625" s="197" t="s">
        <v>735</v>
      </c>
      <c r="C625" s="197" t="s">
        <v>1221</v>
      </c>
      <c r="D625" s="197" t="s">
        <v>735</v>
      </c>
      <c r="G625" s="197" t="s">
        <v>735</v>
      </c>
      <c r="H625" s="197" t="s">
        <v>2558</v>
      </c>
    </row>
    <row r="626" spans="1:8" ht="15">
      <c r="A626" s="197">
        <v>253</v>
      </c>
      <c r="B626" s="197" t="s">
        <v>2449</v>
      </c>
      <c r="D626" s="197" t="s">
        <v>2449</v>
      </c>
      <c r="G626" s="197" t="s">
        <v>2449</v>
      </c>
      <c r="H626" s="197" t="s">
        <v>1922</v>
      </c>
    </row>
    <row r="627" spans="1:8" ht="15">
      <c r="A627" s="197">
        <v>1066</v>
      </c>
      <c r="B627" s="197" t="s">
        <v>2450</v>
      </c>
      <c r="C627" s="197" t="s">
        <v>2451</v>
      </c>
      <c r="D627" s="197" t="s">
        <v>2450</v>
      </c>
      <c r="G627" s="197" t="s">
        <v>2450</v>
      </c>
      <c r="H627" s="197" t="s">
        <v>2097</v>
      </c>
    </row>
    <row r="628" spans="1:8" ht="15">
      <c r="A628" s="197">
        <v>867</v>
      </c>
      <c r="B628" s="197" t="s">
        <v>2452</v>
      </c>
      <c r="D628" s="197" t="s">
        <v>2452</v>
      </c>
      <c r="G628" s="197" t="s">
        <v>2452</v>
      </c>
      <c r="H628" s="197" t="s">
        <v>325</v>
      </c>
    </row>
    <row r="629" spans="1:8" ht="15">
      <c r="A629" s="197">
        <v>345</v>
      </c>
      <c r="B629" s="197" t="s">
        <v>2453</v>
      </c>
      <c r="C629" s="197" t="s">
        <v>2454</v>
      </c>
      <c r="D629" s="197" t="s">
        <v>2453</v>
      </c>
      <c r="G629" s="197" t="s">
        <v>2453</v>
      </c>
      <c r="H629" s="197" t="s">
        <v>79</v>
      </c>
    </row>
    <row r="630" spans="1:8" ht="15">
      <c r="A630" s="197">
        <v>672</v>
      </c>
      <c r="B630" s="197" t="s">
        <v>2455</v>
      </c>
      <c r="C630" s="197" t="s">
        <v>2456</v>
      </c>
      <c r="D630" s="197" t="s">
        <v>2455</v>
      </c>
      <c r="G630" s="197" t="s">
        <v>2455</v>
      </c>
      <c r="H630" s="197" t="s">
        <v>374</v>
      </c>
    </row>
    <row r="631" spans="1:8" ht="15">
      <c r="A631" s="197">
        <v>346</v>
      </c>
      <c r="B631" s="197" t="s">
        <v>2457</v>
      </c>
      <c r="C631" s="197" t="s">
        <v>2458</v>
      </c>
      <c r="D631" s="197" t="s">
        <v>2457</v>
      </c>
      <c r="G631" s="197" t="s">
        <v>2457</v>
      </c>
      <c r="H631" s="197" t="s">
        <v>75</v>
      </c>
    </row>
    <row r="632" spans="1:8" ht="15">
      <c r="A632" s="197">
        <v>868</v>
      </c>
      <c r="B632" s="197" t="s">
        <v>2459</v>
      </c>
      <c r="C632" s="197" t="s">
        <v>2460</v>
      </c>
      <c r="D632" s="197" t="s">
        <v>2459</v>
      </c>
      <c r="G632" s="197" t="s">
        <v>2459</v>
      </c>
      <c r="H632" s="197" t="s">
        <v>384</v>
      </c>
    </row>
    <row r="633" spans="1:8" ht="15">
      <c r="A633" s="197">
        <v>347</v>
      </c>
      <c r="B633" s="197" t="s">
        <v>2461</v>
      </c>
      <c r="C633" s="197" t="s">
        <v>2462</v>
      </c>
      <c r="D633" s="197" t="s">
        <v>2461</v>
      </c>
      <c r="G633" s="197" t="s">
        <v>2461</v>
      </c>
      <c r="H633" s="197" t="s">
        <v>291</v>
      </c>
    </row>
    <row r="634" spans="1:8" ht="15">
      <c r="A634" s="197">
        <v>348</v>
      </c>
      <c r="B634" s="197" t="s">
        <v>2463</v>
      </c>
      <c r="C634" s="197" t="s">
        <v>2464</v>
      </c>
      <c r="D634" s="197" t="s">
        <v>2463</v>
      </c>
      <c r="G634" s="197" t="s">
        <v>2463</v>
      </c>
      <c r="H634" s="197" t="s">
        <v>2367</v>
      </c>
    </row>
    <row r="635" spans="1:8" ht="15">
      <c r="A635" s="197">
        <v>647</v>
      </c>
      <c r="B635" s="197" t="s">
        <v>2465</v>
      </c>
      <c r="C635" s="197" t="s">
        <v>2466</v>
      </c>
      <c r="D635" s="197" t="s">
        <v>2465</v>
      </c>
      <c r="G635" s="197" t="s">
        <v>2465</v>
      </c>
      <c r="H635" s="197" t="s">
        <v>1523</v>
      </c>
    </row>
    <row r="636" spans="1:8" ht="15">
      <c r="A636" s="197">
        <v>350</v>
      </c>
      <c r="B636" s="197" t="s">
        <v>2467</v>
      </c>
      <c r="C636" s="197" t="s">
        <v>2468</v>
      </c>
      <c r="D636" s="197" t="s">
        <v>2467</v>
      </c>
      <c r="G636" s="197" t="s">
        <v>2467</v>
      </c>
      <c r="H636" s="197" t="s">
        <v>1521</v>
      </c>
    </row>
    <row r="637" spans="1:8" ht="15">
      <c r="A637" s="197">
        <v>869</v>
      </c>
      <c r="B637" s="197" t="s">
        <v>2469</v>
      </c>
      <c r="C637" s="197" t="s">
        <v>2470</v>
      </c>
      <c r="D637" s="197" t="s">
        <v>2469</v>
      </c>
      <c r="G637" s="197" t="s">
        <v>2469</v>
      </c>
      <c r="H637" s="197" t="s">
        <v>1766</v>
      </c>
    </row>
    <row r="638" spans="1:8" ht="15">
      <c r="A638" s="197">
        <v>351</v>
      </c>
      <c r="B638" s="197" t="s">
        <v>2471</v>
      </c>
      <c r="C638" s="197" t="s">
        <v>2472</v>
      </c>
      <c r="D638" s="197" t="s">
        <v>2471</v>
      </c>
      <c r="G638" s="197" t="s">
        <v>2471</v>
      </c>
      <c r="H638" s="197" t="s">
        <v>1857</v>
      </c>
    </row>
    <row r="639" spans="1:8" ht="15">
      <c r="A639" s="197">
        <v>870</v>
      </c>
      <c r="B639" s="197" t="s">
        <v>2473</v>
      </c>
      <c r="D639" s="197" t="s">
        <v>2473</v>
      </c>
      <c r="G639" s="197" t="s">
        <v>2473</v>
      </c>
      <c r="H639" s="197" t="s">
        <v>394</v>
      </c>
    </row>
    <row r="640" spans="1:8" ht="15">
      <c r="A640" s="197">
        <v>352</v>
      </c>
      <c r="B640" s="197" t="s">
        <v>645</v>
      </c>
      <c r="C640" s="197" t="s">
        <v>646</v>
      </c>
      <c r="D640" s="197" t="s">
        <v>645</v>
      </c>
      <c r="G640" s="197" t="s">
        <v>645</v>
      </c>
      <c r="H640" s="197" t="s">
        <v>2157</v>
      </c>
    </row>
    <row r="641" spans="1:8" ht="15">
      <c r="A641" s="197">
        <v>639</v>
      </c>
      <c r="B641" s="197" t="s">
        <v>2474</v>
      </c>
      <c r="C641" s="197" t="s">
        <v>2475</v>
      </c>
      <c r="D641" s="197" t="s">
        <v>2474</v>
      </c>
      <c r="G641" s="197" t="s">
        <v>2474</v>
      </c>
      <c r="H641" s="197" t="s">
        <v>2472</v>
      </c>
    </row>
    <row r="642" spans="1:8" ht="15">
      <c r="A642" s="197">
        <v>871</v>
      </c>
      <c r="B642" s="197" t="s">
        <v>2476</v>
      </c>
      <c r="C642" s="197" t="s">
        <v>2477</v>
      </c>
      <c r="D642" s="197" t="s">
        <v>2476</v>
      </c>
      <c r="G642" s="197" t="s">
        <v>2476</v>
      </c>
      <c r="H642" s="197" t="s">
        <v>504</v>
      </c>
    </row>
    <row r="643" spans="1:8" ht="15">
      <c r="A643" s="197">
        <v>872</v>
      </c>
      <c r="B643" s="197" t="s">
        <v>2478</v>
      </c>
      <c r="C643" s="197" t="s">
        <v>2479</v>
      </c>
      <c r="D643" s="197" t="s">
        <v>2478</v>
      </c>
      <c r="G643" s="197" t="s">
        <v>2478</v>
      </c>
      <c r="H643" s="197" t="s">
        <v>336</v>
      </c>
    </row>
    <row r="644" spans="1:8" ht="15">
      <c r="A644" s="197">
        <v>873</v>
      </c>
      <c r="B644" s="197" t="s">
        <v>2480</v>
      </c>
      <c r="C644" s="197" t="s">
        <v>2481</v>
      </c>
      <c r="D644" s="197" t="s">
        <v>2480</v>
      </c>
      <c r="G644" s="197" t="s">
        <v>2480</v>
      </c>
      <c r="H644" s="197" t="s">
        <v>338</v>
      </c>
    </row>
    <row r="645" spans="1:8" ht="15">
      <c r="A645" s="197">
        <v>353</v>
      </c>
      <c r="B645" s="197" t="s">
        <v>2482</v>
      </c>
      <c r="C645" s="197" t="s">
        <v>2483</v>
      </c>
      <c r="D645" s="197" t="s">
        <v>2482</v>
      </c>
      <c r="G645" s="197" t="s">
        <v>2482</v>
      </c>
      <c r="H645" s="197" t="s">
        <v>2399</v>
      </c>
    </row>
    <row r="646" spans="1:8" ht="15">
      <c r="A646" s="197">
        <v>117</v>
      </c>
      <c r="B646" s="197" t="s">
        <v>2484</v>
      </c>
      <c r="C646" s="197" t="s">
        <v>2485</v>
      </c>
      <c r="D646" s="197" t="s">
        <v>2484</v>
      </c>
      <c r="G646" s="197" t="s">
        <v>2484</v>
      </c>
      <c r="H646" s="197" t="s">
        <v>45</v>
      </c>
    </row>
    <row r="647" spans="1:8" ht="15">
      <c r="A647" s="197">
        <v>622</v>
      </c>
      <c r="B647" s="197" t="s">
        <v>2486</v>
      </c>
      <c r="C647" s="197" t="s">
        <v>636</v>
      </c>
      <c r="D647" s="197" t="s">
        <v>2486</v>
      </c>
      <c r="G647" s="197" t="s">
        <v>2486</v>
      </c>
      <c r="H647" s="197" t="s">
        <v>811</v>
      </c>
    </row>
    <row r="648" spans="1:8" ht="15">
      <c r="A648" s="197">
        <v>874</v>
      </c>
      <c r="B648" s="197" t="s">
        <v>2487</v>
      </c>
      <c r="C648" s="197" t="s">
        <v>2488</v>
      </c>
      <c r="D648" s="197" t="s">
        <v>2487</v>
      </c>
      <c r="G648" s="197" t="s">
        <v>2487</v>
      </c>
      <c r="H648" s="197" t="s">
        <v>1514</v>
      </c>
    </row>
    <row r="649" spans="1:8" ht="15">
      <c r="A649" s="197">
        <v>875</v>
      </c>
      <c r="B649" s="197" t="s">
        <v>2489</v>
      </c>
      <c r="C649" s="197" t="s">
        <v>2490</v>
      </c>
      <c r="D649" s="197" t="s">
        <v>2489</v>
      </c>
      <c r="G649" s="197" t="s">
        <v>2489</v>
      </c>
      <c r="H649" s="197" t="s">
        <v>804</v>
      </c>
    </row>
    <row r="650" spans="1:8" ht="15">
      <c r="A650" s="197">
        <v>1132</v>
      </c>
      <c r="B650" s="197" t="s">
        <v>2491</v>
      </c>
      <c r="C650" s="197" t="s">
        <v>2492</v>
      </c>
      <c r="D650" s="197" t="s">
        <v>2491</v>
      </c>
      <c r="G650" s="197" t="s">
        <v>2491</v>
      </c>
      <c r="H650" s="197" t="s">
        <v>1518</v>
      </c>
    </row>
    <row r="651" spans="1:8" ht="15">
      <c r="A651" s="197">
        <v>669</v>
      </c>
      <c r="B651" s="197" t="s">
        <v>2493</v>
      </c>
      <c r="C651" s="197" t="s">
        <v>2494</v>
      </c>
      <c r="D651" s="197" t="s">
        <v>2493</v>
      </c>
      <c r="G651" s="197" t="s">
        <v>2493</v>
      </c>
      <c r="H651" s="197" t="s">
        <v>1629</v>
      </c>
    </row>
    <row r="652" spans="1:8" ht="15">
      <c r="A652" s="197">
        <v>876</v>
      </c>
      <c r="B652" s="197" t="s">
        <v>2495</v>
      </c>
      <c r="C652" s="197" t="s">
        <v>2496</v>
      </c>
      <c r="D652" s="197" t="s">
        <v>2495</v>
      </c>
      <c r="G652" s="197" t="s">
        <v>2495</v>
      </c>
      <c r="H652" s="197" t="s">
        <v>1225</v>
      </c>
    </row>
    <row r="653" spans="1:8" ht="15">
      <c r="A653" s="197">
        <v>354</v>
      </c>
      <c r="B653" s="197" t="s">
        <v>2497</v>
      </c>
      <c r="C653" s="197" t="s">
        <v>2498</v>
      </c>
      <c r="D653" s="197" t="s">
        <v>2497</v>
      </c>
      <c r="G653" s="197" t="s">
        <v>2497</v>
      </c>
      <c r="H653" s="197" t="s">
        <v>207</v>
      </c>
    </row>
    <row r="654" spans="1:8" ht="15">
      <c r="A654" s="197">
        <v>877</v>
      </c>
      <c r="B654" s="197" t="s">
        <v>2499</v>
      </c>
      <c r="C654" s="197" t="s">
        <v>2500</v>
      </c>
      <c r="D654" s="197" t="s">
        <v>2499</v>
      </c>
      <c r="G654" s="197" t="s">
        <v>2499</v>
      </c>
      <c r="H654" s="197" t="s">
        <v>1550</v>
      </c>
    </row>
    <row r="655" spans="1:8" ht="15">
      <c r="A655" s="197">
        <v>1065</v>
      </c>
      <c r="B655" s="197" t="s">
        <v>2501</v>
      </c>
      <c r="C655" s="197" t="s">
        <v>2502</v>
      </c>
      <c r="D655" s="197" t="s">
        <v>2501</v>
      </c>
      <c r="G655" s="197" t="s">
        <v>2501</v>
      </c>
      <c r="H655" s="197" t="s">
        <v>544</v>
      </c>
    </row>
    <row r="656" spans="1:8" ht="15">
      <c r="A656" s="197">
        <v>1057</v>
      </c>
      <c r="B656" s="197" t="s">
        <v>2503</v>
      </c>
      <c r="C656" s="197" t="s">
        <v>2504</v>
      </c>
      <c r="D656" s="197" t="s">
        <v>2503</v>
      </c>
      <c r="G656" s="197" t="s">
        <v>2503</v>
      </c>
      <c r="H656" s="197" t="s">
        <v>2363</v>
      </c>
    </row>
    <row r="657" spans="1:8" ht="15">
      <c r="A657" s="197">
        <v>878</v>
      </c>
      <c r="B657" s="197" t="s">
        <v>2505</v>
      </c>
      <c r="D657" s="197" t="s">
        <v>2505</v>
      </c>
      <c r="G657" s="197" t="s">
        <v>2505</v>
      </c>
      <c r="H657" s="197" t="s">
        <v>26</v>
      </c>
    </row>
    <row r="658" spans="1:8" ht="15">
      <c r="A658" s="197">
        <v>1055</v>
      </c>
      <c r="B658" s="197" t="s">
        <v>2506</v>
      </c>
      <c r="D658" s="197" t="s">
        <v>2506</v>
      </c>
      <c r="G658" s="197" t="s">
        <v>2506</v>
      </c>
      <c r="H658" s="197" t="s">
        <v>64</v>
      </c>
    </row>
    <row r="659" spans="1:8" ht="15">
      <c r="A659" s="197">
        <v>1053</v>
      </c>
      <c r="B659" s="197" t="s">
        <v>2507</v>
      </c>
      <c r="D659" s="197" t="s">
        <v>2507</v>
      </c>
      <c r="G659" s="197" t="s">
        <v>2507</v>
      </c>
      <c r="H659" s="197" t="s">
        <v>1823</v>
      </c>
    </row>
    <row r="660" spans="1:8" ht="15">
      <c r="A660" s="197">
        <v>143</v>
      </c>
      <c r="B660" s="197" t="s">
        <v>2508</v>
      </c>
      <c r="D660" s="197" t="s">
        <v>2508</v>
      </c>
      <c r="G660" s="197" t="s">
        <v>2508</v>
      </c>
      <c r="H660" s="197" t="s">
        <v>1327</v>
      </c>
    </row>
    <row r="661" spans="1:8" ht="15">
      <c r="A661" s="197">
        <v>355</v>
      </c>
      <c r="B661" s="197" t="s">
        <v>2509</v>
      </c>
      <c r="D661" s="197" t="s">
        <v>2509</v>
      </c>
      <c r="G661" s="197" t="s">
        <v>2509</v>
      </c>
      <c r="H661" s="197" t="s">
        <v>1744</v>
      </c>
    </row>
    <row r="662" spans="1:8" ht="15">
      <c r="A662" s="197">
        <v>1068</v>
      </c>
      <c r="B662" s="197" t="s">
        <v>2510</v>
      </c>
      <c r="D662" s="197" t="s">
        <v>2510</v>
      </c>
      <c r="G662" s="197" t="s">
        <v>2510</v>
      </c>
      <c r="H662" s="197" t="s">
        <v>2492</v>
      </c>
    </row>
    <row r="663" spans="1:8" ht="15">
      <c r="A663" s="197">
        <v>879</v>
      </c>
      <c r="B663" s="197" t="s">
        <v>2511</v>
      </c>
      <c r="C663" s="197" t="s">
        <v>2512</v>
      </c>
      <c r="D663" s="197" t="s">
        <v>2511</v>
      </c>
      <c r="G663" s="197" t="s">
        <v>2511</v>
      </c>
      <c r="H663" s="197" t="s">
        <v>737</v>
      </c>
    </row>
    <row r="664" spans="1:8" ht="15">
      <c r="A664" s="197">
        <v>1070</v>
      </c>
      <c r="B664" s="197" t="s">
        <v>2513</v>
      </c>
      <c r="C664" s="197" t="s">
        <v>2514</v>
      </c>
      <c r="D664" s="197" t="s">
        <v>2513</v>
      </c>
      <c r="G664" s="197" t="s">
        <v>2513</v>
      </c>
      <c r="H664" s="197" t="s">
        <v>768</v>
      </c>
    </row>
    <row r="665" spans="1:8" ht="15">
      <c r="A665" s="197">
        <v>356</v>
      </c>
      <c r="B665" s="197" t="s">
        <v>2515</v>
      </c>
      <c r="C665" s="197" t="s">
        <v>2516</v>
      </c>
      <c r="D665" s="197" t="s">
        <v>2515</v>
      </c>
      <c r="G665" s="197" t="s">
        <v>2515</v>
      </c>
      <c r="H665" s="197" t="s">
        <v>671</v>
      </c>
    </row>
    <row r="666" spans="1:8" ht="15">
      <c r="A666" s="197">
        <v>357</v>
      </c>
      <c r="B666" s="197" t="s">
        <v>2517</v>
      </c>
      <c r="D666" s="197" t="s">
        <v>2517</v>
      </c>
      <c r="G666" s="197" t="s">
        <v>2517</v>
      </c>
      <c r="H666" s="197" t="s">
        <v>155</v>
      </c>
    </row>
    <row r="667" spans="1:8" ht="15">
      <c r="A667" s="197">
        <v>358</v>
      </c>
      <c r="B667" s="197" t="s">
        <v>2518</v>
      </c>
      <c r="C667" s="197" t="s">
        <v>2519</v>
      </c>
      <c r="D667" s="197" t="s">
        <v>2518</v>
      </c>
      <c r="G667" s="197" t="s">
        <v>2518</v>
      </c>
      <c r="H667" s="197" t="s">
        <v>747</v>
      </c>
    </row>
    <row r="668" spans="1:8" ht="15">
      <c r="A668" s="197">
        <v>1072</v>
      </c>
      <c r="B668" s="197" t="s">
        <v>2520</v>
      </c>
      <c r="C668" s="197" t="s">
        <v>2521</v>
      </c>
      <c r="D668" s="197" t="s">
        <v>2520</v>
      </c>
      <c r="G668" s="197" t="s">
        <v>2520</v>
      </c>
      <c r="H668" s="197" t="s">
        <v>331</v>
      </c>
    </row>
    <row r="669" spans="1:8" ht="15">
      <c r="A669" s="197">
        <v>1062</v>
      </c>
      <c r="B669" s="197" t="s">
        <v>2522</v>
      </c>
      <c r="C669" s="197" t="s">
        <v>2523</v>
      </c>
      <c r="D669" s="197" t="s">
        <v>2522</v>
      </c>
      <c r="G669" s="197" t="s">
        <v>2522</v>
      </c>
      <c r="H669" s="197" t="s">
        <v>1501</v>
      </c>
    </row>
    <row r="670" spans="1:8" ht="15">
      <c r="A670" s="197">
        <v>880</v>
      </c>
      <c r="B670" s="197" t="s">
        <v>2524</v>
      </c>
      <c r="C670" s="197" t="s">
        <v>2525</v>
      </c>
      <c r="D670" s="197" t="s">
        <v>2524</v>
      </c>
      <c r="G670" s="197" t="s">
        <v>2524</v>
      </c>
      <c r="H670" s="197" t="s">
        <v>1507</v>
      </c>
    </row>
    <row r="671" spans="1:8" ht="15">
      <c r="A671" s="197">
        <v>679</v>
      </c>
      <c r="B671" s="197" t="s">
        <v>2526</v>
      </c>
      <c r="C671" s="197" t="s">
        <v>2527</v>
      </c>
      <c r="D671" s="197" t="s">
        <v>2526</v>
      </c>
      <c r="G671" s="197" t="s">
        <v>2526</v>
      </c>
      <c r="H671" s="197" t="s">
        <v>1227</v>
      </c>
    </row>
    <row r="672" spans="1:8" ht="15">
      <c r="A672" s="197">
        <v>359</v>
      </c>
      <c r="B672" s="197" t="s">
        <v>736</v>
      </c>
      <c r="C672" s="197" t="s">
        <v>737</v>
      </c>
      <c r="D672" s="197" t="s">
        <v>736</v>
      </c>
      <c r="G672" s="197" t="s">
        <v>736</v>
      </c>
      <c r="H672" s="197" t="s">
        <v>163</v>
      </c>
    </row>
    <row r="673" spans="1:8" ht="15">
      <c r="A673" s="197">
        <v>360</v>
      </c>
      <c r="B673" s="197" t="s">
        <v>738</v>
      </c>
      <c r="C673" s="197" t="s">
        <v>1255</v>
      </c>
      <c r="D673" s="197" t="s">
        <v>738</v>
      </c>
      <c r="G673" s="197" t="s">
        <v>738</v>
      </c>
      <c r="H673" s="197" t="s">
        <v>253</v>
      </c>
    </row>
    <row r="674" spans="1:8" ht="15">
      <c r="A674" s="197">
        <v>881</v>
      </c>
      <c r="B674" s="197" t="s">
        <v>2528</v>
      </c>
      <c r="D674" s="197" t="s">
        <v>2528</v>
      </c>
      <c r="G674" s="197" t="s">
        <v>2528</v>
      </c>
      <c r="H674" s="197" t="s">
        <v>101</v>
      </c>
    </row>
    <row r="675" spans="1:8" ht="15">
      <c r="A675" s="197">
        <v>361</v>
      </c>
      <c r="B675" s="197" t="s">
        <v>2529</v>
      </c>
      <c r="C675" s="197" t="s">
        <v>2530</v>
      </c>
      <c r="D675" s="197" t="s">
        <v>2529</v>
      </c>
      <c r="G675" s="197" t="s">
        <v>2529</v>
      </c>
      <c r="H675" s="197" t="s">
        <v>363</v>
      </c>
    </row>
    <row r="676" spans="1:8" ht="15">
      <c r="A676" s="197">
        <v>1127</v>
      </c>
      <c r="B676" s="197" t="s">
        <v>2531</v>
      </c>
      <c r="C676" s="197" t="s">
        <v>2532</v>
      </c>
      <c r="D676" s="197" t="s">
        <v>2531</v>
      </c>
      <c r="G676" s="197" t="s">
        <v>2531</v>
      </c>
      <c r="H676" s="197" t="s">
        <v>2483</v>
      </c>
    </row>
    <row r="677" spans="1:8" ht="15">
      <c r="A677" s="197">
        <v>1084</v>
      </c>
      <c r="B677" s="197" t="s">
        <v>2533</v>
      </c>
      <c r="C677" s="197" t="s">
        <v>2534</v>
      </c>
      <c r="D677" s="197" t="s">
        <v>2533</v>
      </c>
      <c r="G677" s="197" t="s">
        <v>2533</v>
      </c>
      <c r="H677" s="197" t="s">
        <v>2276</v>
      </c>
    </row>
    <row r="678" spans="1:8" ht="15">
      <c r="A678" s="197">
        <v>1113</v>
      </c>
      <c r="B678" s="197" t="s">
        <v>2535</v>
      </c>
      <c r="C678" s="197" t="s">
        <v>2536</v>
      </c>
      <c r="D678" s="197" t="s">
        <v>2535</v>
      </c>
      <c r="G678" s="197" t="s">
        <v>2535</v>
      </c>
      <c r="H678" s="197" t="s">
        <v>1985</v>
      </c>
    </row>
    <row r="679" spans="1:8" ht="15">
      <c r="A679" s="197">
        <v>362</v>
      </c>
      <c r="B679" s="197" t="s">
        <v>2537</v>
      </c>
      <c r="C679" s="197" t="s">
        <v>2538</v>
      </c>
      <c r="D679" s="197" t="s">
        <v>2537</v>
      </c>
      <c r="G679" s="197" t="s">
        <v>2537</v>
      </c>
      <c r="H679" s="197" t="s">
        <v>241</v>
      </c>
    </row>
    <row r="680" spans="1:8" ht="15">
      <c r="A680" s="197">
        <v>1151</v>
      </c>
      <c r="B680" s="197" t="s">
        <v>2539</v>
      </c>
      <c r="D680" s="197" t="s">
        <v>2539</v>
      </c>
      <c r="G680" s="197" t="s">
        <v>2539</v>
      </c>
      <c r="H680" s="197" t="s">
        <v>1678</v>
      </c>
    </row>
    <row r="681" spans="1:8" ht="15">
      <c r="A681" s="197">
        <v>882</v>
      </c>
      <c r="B681" s="197" t="s">
        <v>2540</v>
      </c>
      <c r="C681" s="197" t="s">
        <v>2541</v>
      </c>
      <c r="D681" s="197" t="s">
        <v>2540</v>
      </c>
      <c r="G681" s="197" t="s">
        <v>2540</v>
      </c>
      <c r="H681" s="197" t="s">
        <v>2093</v>
      </c>
    </row>
    <row r="682" spans="1:8" ht="15">
      <c r="A682" s="197">
        <v>1114</v>
      </c>
      <c r="B682" s="197" t="s">
        <v>2542</v>
      </c>
      <c r="C682" s="197" t="s">
        <v>2543</v>
      </c>
      <c r="D682" s="197" t="s">
        <v>2542</v>
      </c>
      <c r="G682" s="197" t="s">
        <v>2542</v>
      </c>
      <c r="H682" s="197" t="s">
        <v>430</v>
      </c>
    </row>
    <row r="683" spans="1:8" ht="15">
      <c r="A683" s="197">
        <v>364</v>
      </c>
      <c r="B683" s="197" t="s">
        <v>739</v>
      </c>
      <c r="C683" s="197" t="s">
        <v>740</v>
      </c>
      <c r="D683" s="197" t="s">
        <v>739</v>
      </c>
      <c r="G683" s="197" t="s">
        <v>739</v>
      </c>
      <c r="H683" s="197" t="s">
        <v>529</v>
      </c>
    </row>
    <row r="684" spans="1:8" ht="15">
      <c r="A684" s="197">
        <v>365</v>
      </c>
      <c r="B684" s="197" t="s">
        <v>2544</v>
      </c>
      <c r="C684" s="197" t="s">
        <v>2545</v>
      </c>
      <c r="D684" s="197" t="s">
        <v>2544</v>
      </c>
      <c r="G684" s="197" t="s">
        <v>2544</v>
      </c>
      <c r="H684" s="197" t="s">
        <v>2050</v>
      </c>
    </row>
    <row r="685" spans="1:8" ht="15">
      <c r="A685" s="197">
        <v>883</v>
      </c>
      <c r="B685" s="197" t="s">
        <v>2546</v>
      </c>
      <c r="D685" s="197" t="s">
        <v>2546</v>
      </c>
      <c r="G685" s="197" t="s">
        <v>2546</v>
      </c>
      <c r="H685" s="197" t="s">
        <v>2314</v>
      </c>
    </row>
    <row r="686" spans="1:8" ht="15">
      <c r="A686" s="197">
        <v>1116</v>
      </c>
      <c r="B686" s="197" t="s">
        <v>2547</v>
      </c>
      <c r="C686" s="197" t="s">
        <v>2548</v>
      </c>
      <c r="D686" s="197" t="s">
        <v>2547</v>
      </c>
      <c r="G686" s="197" t="s">
        <v>2547</v>
      </c>
      <c r="H686" s="197" t="s">
        <v>2339</v>
      </c>
    </row>
    <row r="687" spans="1:8" ht="15">
      <c r="A687" s="197">
        <v>884</v>
      </c>
      <c r="B687" s="197" t="s">
        <v>2549</v>
      </c>
      <c r="C687" s="197" t="s">
        <v>2550</v>
      </c>
      <c r="D687" s="197" t="s">
        <v>2549</v>
      </c>
      <c r="G687" s="197" t="s">
        <v>2549</v>
      </c>
      <c r="H687" s="197" t="s">
        <v>1924</v>
      </c>
    </row>
    <row r="688" spans="1:8" ht="15">
      <c r="A688" s="197">
        <v>885</v>
      </c>
      <c r="B688" s="197" t="s">
        <v>2551</v>
      </c>
      <c r="C688" s="197" t="s">
        <v>2552</v>
      </c>
      <c r="D688" s="197" t="s">
        <v>2551</v>
      </c>
      <c r="G688" s="197" t="s">
        <v>2551</v>
      </c>
      <c r="H688" s="197" t="s">
        <v>1726</v>
      </c>
    </row>
    <row r="689" spans="1:8" ht="15">
      <c r="A689" s="197">
        <v>662</v>
      </c>
      <c r="B689" s="197" t="s">
        <v>1317</v>
      </c>
      <c r="C689" s="197" t="s">
        <v>1318</v>
      </c>
      <c r="D689" s="197" t="s">
        <v>1317</v>
      </c>
      <c r="G689" s="197" t="s">
        <v>1317</v>
      </c>
      <c r="H689" s="197" t="s">
        <v>2208</v>
      </c>
    </row>
    <row r="690" spans="1:8" ht="15">
      <c r="A690" s="197">
        <v>886</v>
      </c>
      <c r="B690" s="197" t="s">
        <v>2553</v>
      </c>
      <c r="C690" s="197" t="s">
        <v>2554</v>
      </c>
      <c r="D690" s="197" t="s">
        <v>2553</v>
      </c>
      <c r="G690" s="197" t="s">
        <v>2553</v>
      </c>
      <c r="H690" s="197" t="s">
        <v>2228</v>
      </c>
    </row>
    <row r="691" spans="1:8" ht="15">
      <c r="A691" s="197">
        <v>366</v>
      </c>
      <c r="B691" s="197" t="s">
        <v>696</v>
      </c>
      <c r="C691" s="197" t="s">
        <v>697</v>
      </c>
      <c r="D691" s="197" t="s">
        <v>696</v>
      </c>
      <c r="G691" s="197" t="s">
        <v>696</v>
      </c>
      <c r="H691" s="197" t="s">
        <v>720</v>
      </c>
    </row>
    <row r="692" spans="1:8" ht="15">
      <c r="A692" s="197">
        <v>367</v>
      </c>
      <c r="B692" s="197" t="s">
        <v>2555</v>
      </c>
      <c r="C692" s="197" t="s">
        <v>2556</v>
      </c>
      <c r="D692" s="197" t="s">
        <v>2555</v>
      </c>
      <c r="G692" s="197" t="s">
        <v>2555</v>
      </c>
      <c r="H692" s="197" t="s">
        <v>2247</v>
      </c>
    </row>
    <row r="693" spans="1:8" ht="15">
      <c r="A693" s="197">
        <v>368</v>
      </c>
      <c r="B693" s="197" t="s">
        <v>779</v>
      </c>
      <c r="C693" s="197" t="s">
        <v>1235</v>
      </c>
      <c r="D693" s="197" t="s">
        <v>779</v>
      </c>
      <c r="G693" s="197" t="s">
        <v>779</v>
      </c>
      <c r="H693" s="197" t="s">
        <v>2552</v>
      </c>
    </row>
    <row r="694" spans="1:8" ht="15">
      <c r="A694" s="197">
        <v>887</v>
      </c>
      <c r="B694" s="197" t="s">
        <v>2557</v>
      </c>
      <c r="C694" s="197" t="s">
        <v>2558</v>
      </c>
      <c r="D694" s="197" t="s">
        <v>2557</v>
      </c>
      <c r="G694" s="197" t="s">
        <v>2557</v>
      </c>
      <c r="H694" s="197" t="s">
        <v>2262</v>
      </c>
    </row>
    <row r="695" spans="1:8" ht="15">
      <c r="A695" s="197">
        <v>369</v>
      </c>
      <c r="B695" s="197" t="s">
        <v>2559</v>
      </c>
      <c r="C695" s="197" t="s">
        <v>2560</v>
      </c>
      <c r="D695" s="197" t="s">
        <v>2559</v>
      </c>
      <c r="G695" s="197" t="s">
        <v>2559</v>
      </c>
      <c r="H695" s="197" t="s">
        <v>1819</v>
      </c>
    </row>
    <row r="696" spans="1:8" ht="15">
      <c r="A696" s="197">
        <v>370</v>
      </c>
      <c r="B696" s="197" t="s">
        <v>2561</v>
      </c>
      <c r="C696" s="197" t="s">
        <v>0</v>
      </c>
      <c r="D696" s="197" t="s">
        <v>2561</v>
      </c>
      <c r="G696" s="197" t="s">
        <v>2561</v>
      </c>
      <c r="H696" s="197" t="s">
        <v>1930</v>
      </c>
    </row>
    <row r="697" spans="1:8" ht="15">
      <c r="A697" s="197">
        <v>25</v>
      </c>
      <c r="B697" s="197" t="s">
        <v>1</v>
      </c>
      <c r="C697" s="197" t="s">
        <v>2</v>
      </c>
      <c r="D697" s="197" t="s">
        <v>1</v>
      </c>
      <c r="G697" s="197" t="s">
        <v>1</v>
      </c>
      <c r="H697" s="197" t="s">
        <v>2033</v>
      </c>
    </row>
    <row r="698" spans="1:8" ht="15">
      <c r="A698" s="197">
        <v>1120</v>
      </c>
      <c r="B698" s="197" t="s">
        <v>3</v>
      </c>
      <c r="C698" s="197" t="s">
        <v>4</v>
      </c>
      <c r="D698" s="197" t="s">
        <v>3</v>
      </c>
      <c r="G698" s="197" t="s">
        <v>3</v>
      </c>
      <c r="H698" s="197" t="s">
        <v>1825</v>
      </c>
    </row>
    <row r="699" spans="1:8" ht="15">
      <c r="A699" s="197">
        <v>373</v>
      </c>
      <c r="B699" s="197" t="s">
        <v>5</v>
      </c>
      <c r="C699" s="197" t="s">
        <v>6</v>
      </c>
      <c r="D699" s="197" t="s">
        <v>5</v>
      </c>
      <c r="G699" s="197" t="s">
        <v>5</v>
      </c>
      <c r="H699" s="197" t="s">
        <v>409</v>
      </c>
    </row>
    <row r="700" spans="1:8" ht="15">
      <c r="A700" s="197">
        <v>372</v>
      </c>
      <c r="B700" s="197" t="s">
        <v>7</v>
      </c>
      <c r="C700" s="197" t="s">
        <v>8</v>
      </c>
      <c r="D700" s="197" t="s">
        <v>7</v>
      </c>
      <c r="G700" s="197" t="s">
        <v>7</v>
      </c>
      <c r="H700" s="197" t="s">
        <v>1795</v>
      </c>
    </row>
    <row r="701" spans="1:8" ht="15">
      <c r="A701" s="197">
        <v>467</v>
      </c>
      <c r="B701" s="197" t="s">
        <v>9</v>
      </c>
      <c r="C701" s="197" t="s">
        <v>10</v>
      </c>
      <c r="D701" s="197" t="s">
        <v>9</v>
      </c>
      <c r="G701" s="197" t="s">
        <v>9</v>
      </c>
      <c r="H701" s="197" t="s">
        <v>644</v>
      </c>
    </row>
    <row r="702" spans="1:8" ht="15">
      <c r="A702" s="197">
        <v>1003</v>
      </c>
      <c r="B702" s="197" t="s">
        <v>11</v>
      </c>
      <c r="D702" s="197" t="s">
        <v>11</v>
      </c>
      <c r="G702" s="197" t="s">
        <v>11</v>
      </c>
      <c r="H702" s="197" t="s">
        <v>2328</v>
      </c>
    </row>
    <row r="703" spans="1:8" ht="15">
      <c r="A703" s="197">
        <v>888</v>
      </c>
      <c r="B703" s="197" t="s">
        <v>12</v>
      </c>
      <c r="C703" s="197" t="s">
        <v>13</v>
      </c>
      <c r="D703" s="197" t="s">
        <v>12</v>
      </c>
      <c r="G703" s="197" t="s">
        <v>12</v>
      </c>
      <c r="H703" s="197" t="s">
        <v>1804</v>
      </c>
    </row>
    <row r="704" spans="1:8" ht="15">
      <c r="A704" s="197">
        <v>375</v>
      </c>
      <c r="B704" s="197" t="s">
        <v>14</v>
      </c>
      <c r="C704" s="197" t="s">
        <v>15</v>
      </c>
      <c r="D704" s="197" t="s">
        <v>14</v>
      </c>
      <c r="G704" s="197" t="s">
        <v>14</v>
      </c>
      <c r="H704" s="197" t="s">
        <v>2137</v>
      </c>
    </row>
    <row r="705" spans="1:8" ht="15">
      <c r="A705" s="197">
        <v>376</v>
      </c>
      <c r="B705" s="197" t="s">
        <v>16</v>
      </c>
      <c r="C705" s="197" t="s">
        <v>17</v>
      </c>
      <c r="D705" s="197" t="s">
        <v>16</v>
      </c>
      <c r="G705" s="197" t="s">
        <v>16</v>
      </c>
      <c r="H705" s="197" t="s">
        <v>2405</v>
      </c>
    </row>
    <row r="706" spans="1:8" ht="15">
      <c r="A706" s="197">
        <v>374</v>
      </c>
      <c r="B706" s="197" t="s">
        <v>18</v>
      </c>
      <c r="C706" s="197" t="s">
        <v>19</v>
      </c>
      <c r="D706" s="197" t="s">
        <v>18</v>
      </c>
      <c r="G706" s="197" t="s">
        <v>18</v>
      </c>
      <c r="H706" s="197" t="s">
        <v>1970</v>
      </c>
    </row>
    <row r="707" spans="1:8" ht="15">
      <c r="A707" s="197">
        <v>379</v>
      </c>
      <c r="B707" s="197" t="s">
        <v>20</v>
      </c>
      <c r="C707" s="197" t="s">
        <v>21</v>
      </c>
      <c r="D707" s="197" t="s">
        <v>20</v>
      </c>
      <c r="G707" s="197" t="s">
        <v>20</v>
      </c>
      <c r="H707" s="197" t="s">
        <v>282</v>
      </c>
    </row>
    <row r="708" spans="1:8" ht="15">
      <c r="A708" s="197">
        <v>626</v>
      </c>
      <c r="B708" s="197" t="s">
        <v>22</v>
      </c>
      <c r="D708" s="197" t="s">
        <v>22</v>
      </c>
      <c r="G708" s="197" t="s">
        <v>22</v>
      </c>
      <c r="H708" s="197" t="s">
        <v>2125</v>
      </c>
    </row>
    <row r="709" spans="1:8" ht="15">
      <c r="A709" s="197">
        <v>889</v>
      </c>
      <c r="B709" s="197" t="s">
        <v>23</v>
      </c>
      <c r="C709" s="197" t="s">
        <v>24</v>
      </c>
      <c r="D709" s="197" t="s">
        <v>23</v>
      </c>
      <c r="G709" s="197" t="s">
        <v>23</v>
      </c>
      <c r="H709" s="197" t="s">
        <v>2176</v>
      </c>
    </row>
    <row r="710" spans="1:8" ht="15">
      <c r="A710" s="197">
        <v>1124</v>
      </c>
      <c r="B710" s="197" t="s">
        <v>25</v>
      </c>
      <c r="C710" s="197" t="s">
        <v>26</v>
      </c>
      <c r="D710" s="197" t="s">
        <v>25</v>
      </c>
      <c r="G710" s="197" t="s">
        <v>25</v>
      </c>
      <c r="H710" s="197" t="s">
        <v>270</v>
      </c>
    </row>
    <row r="711" spans="1:8" ht="15">
      <c r="A711" s="197">
        <v>1125</v>
      </c>
      <c r="B711" s="197" t="s">
        <v>27</v>
      </c>
      <c r="C711" s="197" t="s">
        <v>28</v>
      </c>
      <c r="D711" s="197" t="s">
        <v>27</v>
      </c>
      <c r="G711" s="197" t="s">
        <v>27</v>
      </c>
      <c r="H711" s="197" t="s">
        <v>1576</v>
      </c>
    </row>
    <row r="712" spans="1:8" ht="15">
      <c r="A712" s="197">
        <v>1148</v>
      </c>
      <c r="B712" s="197" t="s">
        <v>29</v>
      </c>
      <c r="D712" s="197" t="s">
        <v>29</v>
      </c>
      <c r="G712" s="197" t="s">
        <v>29</v>
      </c>
      <c r="H712" s="197" t="s">
        <v>755</v>
      </c>
    </row>
    <row r="713" spans="1:8" ht="15">
      <c r="A713" s="197">
        <v>381</v>
      </c>
      <c r="B713" s="197" t="s">
        <v>1328</v>
      </c>
      <c r="C713" s="197" t="s">
        <v>698</v>
      </c>
      <c r="D713" s="197" t="s">
        <v>1328</v>
      </c>
      <c r="G713" s="197" t="s">
        <v>1328</v>
      </c>
      <c r="H713" s="197" t="s">
        <v>297</v>
      </c>
    </row>
    <row r="714" spans="1:8" ht="15">
      <c r="A714" s="197">
        <v>890</v>
      </c>
      <c r="B714" s="197" t="s">
        <v>30</v>
      </c>
      <c r="C714" s="197" t="s">
        <v>31</v>
      </c>
      <c r="D714" s="197" t="s">
        <v>30</v>
      </c>
      <c r="G714" s="197" t="s">
        <v>30</v>
      </c>
      <c r="H714" s="197" t="s">
        <v>2055</v>
      </c>
    </row>
    <row r="715" spans="1:8" ht="15">
      <c r="A715" s="197">
        <v>382</v>
      </c>
      <c r="B715" s="197" t="s">
        <v>32</v>
      </c>
      <c r="C715" s="197" t="s">
        <v>33</v>
      </c>
      <c r="D715" s="197" t="s">
        <v>32</v>
      </c>
      <c r="G715" s="197" t="s">
        <v>32</v>
      </c>
      <c r="H715" s="197" t="s">
        <v>131</v>
      </c>
    </row>
    <row r="716" spans="1:8" ht="15">
      <c r="A716" s="197">
        <v>1119</v>
      </c>
      <c r="B716" s="197" t="s">
        <v>34</v>
      </c>
      <c r="C716" s="197" t="s">
        <v>34</v>
      </c>
      <c r="D716" s="197" t="s">
        <v>34</v>
      </c>
      <c r="G716" s="197" t="s">
        <v>34</v>
      </c>
      <c r="H716" s="197" t="s">
        <v>683</v>
      </c>
    </row>
    <row r="717" spans="1:8" ht="15">
      <c r="A717" s="197">
        <v>385</v>
      </c>
      <c r="B717" s="197" t="s">
        <v>35</v>
      </c>
      <c r="D717" s="197" t="s">
        <v>35</v>
      </c>
      <c r="G717" s="197" t="s">
        <v>35</v>
      </c>
      <c r="H717" s="197" t="s">
        <v>1769</v>
      </c>
    </row>
    <row r="718" spans="1:8" ht="15">
      <c r="A718" s="197">
        <v>384</v>
      </c>
      <c r="B718" s="197" t="s">
        <v>36</v>
      </c>
      <c r="C718" s="197" t="s">
        <v>37</v>
      </c>
      <c r="D718" s="197" t="s">
        <v>36</v>
      </c>
      <c r="G718" s="197" t="s">
        <v>36</v>
      </c>
      <c r="H718" s="197" t="s">
        <v>323</v>
      </c>
    </row>
    <row r="719" spans="1:8" ht="15">
      <c r="A719" s="197">
        <v>383</v>
      </c>
      <c r="B719" s="197" t="s">
        <v>38</v>
      </c>
      <c r="D719" s="197" t="s">
        <v>38</v>
      </c>
      <c r="G719" s="197" t="s">
        <v>38</v>
      </c>
      <c r="H719" s="197" t="s">
        <v>251</v>
      </c>
    </row>
    <row r="720" spans="1:8" ht="15">
      <c r="A720" s="197">
        <v>891</v>
      </c>
      <c r="B720" s="197" t="s">
        <v>39</v>
      </c>
      <c r="D720" s="197" t="s">
        <v>39</v>
      </c>
      <c r="G720" s="197" t="s">
        <v>39</v>
      </c>
      <c r="H720" s="197" t="s">
        <v>1605</v>
      </c>
    </row>
    <row r="721" spans="1:8" ht="15">
      <c r="A721" s="197">
        <v>386</v>
      </c>
      <c r="B721" s="197" t="s">
        <v>40</v>
      </c>
      <c r="C721" s="197" t="s">
        <v>40</v>
      </c>
      <c r="D721" s="197" t="s">
        <v>40</v>
      </c>
      <c r="G721" s="197" t="s">
        <v>40</v>
      </c>
      <c r="H721" s="197" t="s">
        <v>652</v>
      </c>
    </row>
    <row r="722" spans="1:8" ht="15">
      <c r="A722" s="197">
        <v>387</v>
      </c>
      <c r="B722" s="197" t="s">
        <v>41</v>
      </c>
      <c r="C722" s="197" t="s">
        <v>42</v>
      </c>
      <c r="D722" s="197" t="s">
        <v>41</v>
      </c>
      <c r="G722" s="197" t="s">
        <v>41</v>
      </c>
      <c r="H722" s="197" t="s">
        <v>2196</v>
      </c>
    </row>
    <row r="723" spans="1:8" ht="15">
      <c r="A723" s="197">
        <v>388</v>
      </c>
      <c r="B723" s="197" t="s">
        <v>1203</v>
      </c>
      <c r="C723" s="197" t="s">
        <v>43</v>
      </c>
      <c r="D723" s="197" t="s">
        <v>1203</v>
      </c>
      <c r="G723" s="197" t="s">
        <v>1203</v>
      </c>
      <c r="H723" s="197" t="s">
        <v>2045</v>
      </c>
    </row>
    <row r="724" spans="1:8" ht="15">
      <c r="A724" s="197">
        <v>389</v>
      </c>
      <c r="B724" s="197" t="s">
        <v>1197</v>
      </c>
      <c r="D724" s="197" t="s">
        <v>1197</v>
      </c>
      <c r="G724" s="197" t="s">
        <v>1197</v>
      </c>
      <c r="H724" s="197" t="s">
        <v>2048</v>
      </c>
    </row>
    <row r="725" spans="1:8" ht="15">
      <c r="A725" s="197">
        <v>391</v>
      </c>
      <c r="B725" s="197" t="s">
        <v>44</v>
      </c>
      <c r="C725" s="197" t="s">
        <v>45</v>
      </c>
      <c r="D725" s="197" t="s">
        <v>44</v>
      </c>
      <c r="G725" s="197" t="s">
        <v>44</v>
      </c>
      <c r="H725" s="197" t="s">
        <v>413</v>
      </c>
    </row>
    <row r="726" spans="1:8" ht="15">
      <c r="A726" s="197">
        <v>652</v>
      </c>
      <c r="B726" s="197" t="s">
        <v>46</v>
      </c>
      <c r="C726" s="197" t="s">
        <v>47</v>
      </c>
      <c r="D726" s="197" t="s">
        <v>46</v>
      </c>
      <c r="G726" s="197" t="s">
        <v>46</v>
      </c>
      <c r="H726" s="197" t="s">
        <v>1543</v>
      </c>
    </row>
    <row r="727" spans="1:8" ht="15">
      <c r="A727" s="197">
        <v>892</v>
      </c>
      <c r="B727" s="197" t="s">
        <v>48</v>
      </c>
      <c r="C727" s="197" t="s">
        <v>49</v>
      </c>
      <c r="D727" s="197" t="s">
        <v>48</v>
      </c>
      <c r="G727" s="197" t="s">
        <v>48</v>
      </c>
      <c r="H727" s="197" t="s">
        <v>2234</v>
      </c>
    </row>
    <row r="728" spans="1:8" ht="15">
      <c r="A728" s="197">
        <v>893</v>
      </c>
      <c r="B728" s="197" t="s">
        <v>50</v>
      </c>
      <c r="C728" s="197" t="s">
        <v>51</v>
      </c>
      <c r="D728" s="197" t="s">
        <v>50</v>
      </c>
      <c r="G728" s="197" t="s">
        <v>50</v>
      </c>
      <c r="H728" s="197" t="s">
        <v>2468</v>
      </c>
    </row>
    <row r="729" spans="1:8" ht="15">
      <c r="A729" s="197">
        <v>894</v>
      </c>
      <c r="B729" s="197" t="s">
        <v>52</v>
      </c>
      <c r="C729" s="197" t="s">
        <v>53</v>
      </c>
      <c r="D729" s="197" t="s">
        <v>52</v>
      </c>
      <c r="G729" s="197" t="s">
        <v>52</v>
      </c>
      <c r="H729" s="197" t="s">
        <v>1670</v>
      </c>
    </row>
    <row r="730" spans="1:8" ht="15">
      <c r="A730" s="197">
        <v>392</v>
      </c>
      <c r="B730" s="197" t="s">
        <v>54</v>
      </c>
      <c r="C730" s="197" t="s">
        <v>55</v>
      </c>
      <c r="D730" s="197" t="s">
        <v>54</v>
      </c>
      <c r="G730" s="197" t="s">
        <v>54</v>
      </c>
      <c r="H730" s="197" t="s">
        <v>2322</v>
      </c>
    </row>
    <row r="731" spans="1:8" ht="15">
      <c r="A731" s="197">
        <v>395</v>
      </c>
      <c r="B731" s="197" t="s">
        <v>56</v>
      </c>
      <c r="C731" s="197" t="s">
        <v>57</v>
      </c>
      <c r="D731" s="197" t="s">
        <v>56</v>
      </c>
      <c r="G731" s="197" t="s">
        <v>56</v>
      </c>
      <c r="H731" s="197" t="s">
        <v>2102</v>
      </c>
    </row>
    <row r="732" spans="1:8" ht="15">
      <c r="A732" s="197">
        <v>396</v>
      </c>
      <c r="B732" s="197" t="s">
        <v>58</v>
      </c>
      <c r="C732" s="197" t="s">
        <v>59</v>
      </c>
      <c r="D732" s="197" t="s">
        <v>58</v>
      </c>
      <c r="G732" s="197" t="s">
        <v>58</v>
      </c>
      <c r="H732" s="197" t="s">
        <v>2150</v>
      </c>
    </row>
    <row r="733" spans="1:8" ht="15">
      <c r="A733" s="197">
        <v>895</v>
      </c>
      <c r="B733" s="197" t="s">
        <v>60</v>
      </c>
      <c r="C733" s="197" t="s">
        <v>61</v>
      </c>
      <c r="D733" s="197" t="s">
        <v>60</v>
      </c>
      <c r="G733" s="197" t="s">
        <v>60</v>
      </c>
      <c r="H733" s="197" t="s">
        <v>2361</v>
      </c>
    </row>
    <row r="734" spans="1:8" ht="15">
      <c r="A734" s="197">
        <v>1026</v>
      </c>
      <c r="B734" s="197" t="s">
        <v>62</v>
      </c>
      <c r="D734" s="197" t="s">
        <v>62</v>
      </c>
      <c r="G734" s="197" t="s">
        <v>62</v>
      </c>
      <c r="H734" s="197" t="s">
        <v>2324</v>
      </c>
    </row>
    <row r="735" spans="1:8" ht="15">
      <c r="A735" s="197">
        <v>896</v>
      </c>
      <c r="B735" s="197" t="s">
        <v>63</v>
      </c>
      <c r="C735" s="197" t="s">
        <v>64</v>
      </c>
      <c r="D735" s="197" t="s">
        <v>63</v>
      </c>
      <c r="G735" s="197" t="s">
        <v>63</v>
      </c>
      <c r="H735" s="197" t="s">
        <v>1213</v>
      </c>
    </row>
    <row r="736" spans="1:8" ht="15">
      <c r="A736" s="197">
        <v>397</v>
      </c>
      <c r="B736" s="197" t="s">
        <v>65</v>
      </c>
      <c r="C736" s="197" t="s">
        <v>66</v>
      </c>
      <c r="D736" s="197" t="s">
        <v>65</v>
      </c>
      <c r="G736" s="197" t="s">
        <v>65</v>
      </c>
      <c r="H736" s="197" t="s">
        <v>2371</v>
      </c>
    </row>
    <row r="737" spans="1:8" ht="15">
      <c r="A737" s="197">
        <v>398</v>
      </c>
      <c r="B737" s="197" t="s">
        <v>67</v>
      </c>
      <c r="D737" s="197" t="s">
        <v>67</v>
      </c>
      <c r="G737" s="197" t="s">
        <v>67</v>
      </c>
      <c r="H737" s="197" t="s">
        <v>1212</v>
      </c>
    </row>
    <row r="738" spans="1:8" ht="15">
      <c r="A738" s="197">
        <v>400</v>
      </c>
      <c r="B738" s="197" t="s">
        <v>795</v>
      </c>
      <c r="C738" s="197" t="s">
        <v>796</v>
      </c>
      <c r="D738" s="197" t="s">
        <v>795</v>
      </c>
      <c r="G738" s="197" t="s">
        <v>795</v>
      </c>
      <c r="H738" s="197" t="s">
        <v>2215</v>
      </c>
    </row>
    <row r="739" spans="1:8" ht="15">
      <c r="A739" s="197">
        <v>401</v>
      </c>
      <c r="B739" s="197" t="s">
        <v>68</v>
      </c>
      <c r="C739" s="197" t="s">
        <v>69</v>
      </c>
      <c r="D739" s="197" t="s">
        <v>68</v>
      </c>
      <c r="G739" s="197" t="s">
        <v>68</v>
      </c>
      <c r="H739" s="197" t="s">
        <v>2047</v>
      </c>
    </row>
    <row r="740" spans="1:8" ht="15">
      <c r="A740" s="197">
        <v>399</v>
      </c>
      <c r="B740" s="197" t="s">
        <v>70</v>
      </c>
      <c r="C740" s="197" t="s">
        <v>71</v>
      </c>
      <c r="D740" s="197" t="s">
        <v>70</v>
      </c>
      <c r="G740" s="197" t="s">
        <v>70</v>
      </c>
      <c r="H740" s="197" t="s">
        <v>2434</v>
      </c>
    </row>
    <row r="741" spans="1:8" ht="15">
      <c r="A741" s="197">
        <v>402</v>
      </c>
      <c r="B741" s="197" t="s">
        <v>794</v>
      </c>
      <c r="C741" s="197" t="s">
        <v>1287</v>
      </c>
      <c r="D741" s="197" t="s">
        <v>794</v>
      </c>
      <c r="G741" s="197" t="s">
        <v>794</v>
      </c>
      <c r="H741" s="197" t="s">
        <v>204</v>
      </c>
    </row>
    <row r="742" spans="1:8" ht="15">
      <c r="A742" s="197">
        <v>403</v>
      </c>
      <c r="B742" s="197" t="s">
        <v>72</v>
      </c>
      <c r="C742" s="197" t="s">
        <v>73</v>
      </c>
      <c r="D742" s="197" t="s">
        <v>72</v>
      </c>
      <c r="G742" s="197" t="s">
        <v>72</v>
      </c>
      <c r="H742" s="197" t="s">
        <v>2373</v>
      </c>
    </row>
    <row r="743" spans="1:8" ht="15">
      <c r="A743" s="197">
        <v>670</v>
      </c>
      <c r="B743" s="197" t="s">
        <v>74</v>
      </c>
      <c r="C743" s="197" t="s">
        <v>75</v>
      </c>
      <c r="D743" s="197" t="s">
        <v>74</v>
      </c>
      <c r="G743" s="197" t="s">
        <v>74</v>
      </c>
      <c r="H743" s="197" t="s">
        <v>2298</v>
      </c>
    </row>
    <row r="744" spans="1:8" ht="15">
      <c r="A744" s="197">
        <v>1103</v>
      </c>
      <c r="B744" s="197" t="s">
        <v>76</v>
      </c>
      <c r="D744" s="197" t="s">
        <v>76</v>
      </c>
      <c r="G744" s="197" t="s">
        <v>76</v>
      </c>
      <c r="H744" s="197" t="s">
        <v>59</v>
      </c>
    </row>
    <row r="745" spans="1:8" ht="15">
      <c r="A745" s="197">
        <v>404</v>
      </c>
      <c r="B745" s="197" t="s">
        <v>741</v>
      </c>
      <c r="C745" s="197" t="s">
        <v>1277</v>
      </c>
      <c r="D745" s="197" t="s">
        <v>741</v>
      </c>
      <c r="G745" s="197" t="s">
        <v>741</v>
      </c>
      <c r="H745" s="197" t="s">
        <v>1126</v>
      </c>
    </row>
    <row r="746" spans="1:8" ht="15">
      <c r="A746" s="197">
        <v>1093</v>
      </c>
      <c r="B746" s="197" t="s">
        <v>77</v>
      </c>
      <c r="D746" s="197" t="s">
        <v>77</v>
      </c>
      <c r="G746" s="197" t="s">
        <v>77</v>
      </c>
      <c r="H746" s="197" t="s">
        <v>2069</v>
      </c>
    </row>
    <row r="747" spans="1:8" ht="15">
      <c r="A747" s="197">
        <v>898</v>
      </c>
      <c r="B747" s="197" t="s">
        <v>78</v>
      </c>
      <c r="C747" s="197" t="s">
        <v>79</v>
      </c>
      <c r="D747" s="197" t="s">
        <v>78</v>
      </c>
      <c r="G747" s="197" t="s">
        <v>78</v>
      </c>
      <c r="H747" s="197" t="s">
        <v>723</v>
      </c>
    </row>
    <row r="748" spans="1:8" ht="15">
      <c r="A748" s="197">
        <v>899</v>
      </c>
      <c r="B748" s="197" t="s">
        <v>80</v>
      </c>
      <c r="C748" s="197" t="s">
        <v>81</v>
      </c>
      <c r="D748" s="197" t="s">
        <v>80</v>
      </c>
      <c r="G748" s="197" t="s">
        <v>80</v>
      </c>
      <c r="H748" s="197" t="s">
        <v>103</v>
      </c>
    </row>
    <row r="749" spans="1:8" ht="15">
      <c r="A749" s="197">
        <v>405</v>
      </c>
      <c r="B749" s="197" t="s">
        <v>1247</v>
      </c>
      <c r="C749" s="197" t="s">
        <v>1268</v>
      </c>
      <c r="D749" s="197" t="s">
        <v>1247</v>
      </c>
      <c r="G749" s="197" t="s">
        <v>1247</v>
      </c>
      <c r="H749" s="197" t="s">
        <v>1572</v>
      </c>
    </row>
    <row r="750" spans="1:8" ht="15">
      <c r="A750" s="197">
        <v>900</v>
      </c>
      <c r="B750" s="197" t="s">
        <v>82</v>
      </c>
      <c r="C750" s="197" t="s">
        <v>83</v>
      </c>
      <c r="D750" s="197" t="s">
        <v>82</v>
      </c>
      <c r="G750" s="197" t="s">
        <v>82</v>
      </c>
      <c r="H750" s="197" t="s">
        <v>1645</v>
      </c>
    </row>
    <row r="751" spans="1:8" ht="15">
      <c r="A751" s="197">
        <v>411</v>
      </c>
      <c r="B751" s="197" t="s">
        <v>84</v>
      </c>
      <c r="D751" s="197" t="s">
        <v>84</v>
      </c>
      <c r="G751" s="197" t="s">
        <v>84</v>
      </c>
      <c r="H751" s="197" t="s">
        <v>415</v>
      </c>
    </row>
    <row r="752" spans="1:8" ht="15">
      <c r="A752" s="197">
        <v>406</v>
      </c>
      <c r="B752" s="197" t="s">
        <v>85</v>
      </c>
      <c r="C752" s="197" t="s">
        <v>86</v>
      </c>
      <c r="D752" s="197" t="s">
        <v>85</v>
      </c>
      <c r="G752" s="197" t="s">
        <v>85</v>
      </c>
      <c r="H752" s="197" t="s">
        <v>304</v>
      </c>
    </row>
    <row r="753" spans="1:8" ht="15">
      <c r="A753" s="197">
        <v>407</v>
      </c>
      <c r="B753" s="197" t="s">
        <v>87</v>
      </c>
      <c r="C753" s="197" t="s">
        <v>88</v>
      </c>
      <c r="D753" s="197" t="s">
        <v>87</v>
      </c>
      <c r="G753" s="197" t="s">
        <v>87</v>
      </c>
      <c r="H753" s="197" t="s">
        <v>681</v>
      </c>
    </row>
    <row r="754" spans="1:8" ht="15">
      <c r="A754" s="197">
        <v>408</v>
      </c>
      <c r="B754" s="197" t="s">
        <v>89</v>
      </c>
      <c r="C754" s="197" t="s">
        <v>90</v>
      </c>
      <c r="D754" s="197" t="s">
        <v>89</v>
      </c>
      <c r="G754" s="197" t="s">
        <v>89</v>
      </c>
      <c r="H754" s="197" t="s">
        <v>260</v>
      </c>
    </row>
    <row r="755" spans="1:8" ht="15">
      <c r="A755" s="197">
        <v>621</v>
      </c>
      <c r="B755" s="197" t="s">
        <v>91</v>
      </c>
      <c r="C755" s="197" t="s">
        <v>92</v>
      </c>
      <c r="D755" s="197" t="s">
        <v>91</v>
      </c>
      <c r="G755" s="197" t="s">
        <v>91</v>
      </c>
      <c r="H755" s="197" t="s">
        <v>2541</v>
      </c>
    </row>
    <row r="756" spans="1:8" ht="15">
      <c r="A756" s="197">
        <v>410</v>
      </c>
      <c r="B756" s="197" t="s">
        <v>93</v>
      </c>
      <c r="C756" s="197" t="s">
        <v>94</v>
      </c>
      <c r="D756" s="197" t="s">
        <v>93</v>
      </c>
      <c r="G756" s="197" t="s">
        <v>93</v>
      </c>
      <c r="H756" s="197" t="s">
        <v>1591</v>
      </c>
    </row>
    <row r="757" spans="1:8" ht="15">
      <c r="A757" s="197">
        <v>1108</v>
      </c>
      <c r="B757" s="197" t="s">
        <v>95</v>
      </c>
      <c r="C757" s="197" t="s">
        <v>96</v>
      </c>
      <c r="D757" s="197" t="s">
        <v>95</v>
      </c>
      <c r="G757" s="197" t="s">
        <v>95</v>
      </c>
      <c r="H757" s="197" t="s">
        <v>1587</v>
      </c>
    </row>
    <row r="758" spans="1:8" ht="15">
      <c r="A758" s="197">
        <v>902</v>
      </c>
      <c r="B758" s="197" t="s">
        <v>97</v>
      </c>
      <c r="D758" s="197" t="s">
        <v>97</v>
      </c>
      <c r="G758" s="197" t="s">
        <v>97</v>
      </c>
      <c r="H758" s="197" t="s">
        <v>2012</v>
      </c>
    </row>
    <row r="759" spans="1:8" ht="15">
      <c r="A759" s="197">
        <v>409</v>
      </c>
      <c r="B759" s="197" t="s">
        <v>98</v>
      </c>
      <c r="C759" s="197" t="s">
        <v>99</v>
      </c>
      <c r="D759" s="197" t="s">
        <v>98</v>
      </c>
      <c r="G759" s="197" t="s">
        <v>98</v>
      </c>
      <c r="H759" s="197" t="s">
        <v>17</v>
      </c>
    </row>
    <row r="760" spans="1:8" ht="15">
      <c r="A760" s="197">
        <v>904</v>
      </c>
      <c r="B760" s="197" t="s">
        <v>100</v>
      </c>
      <c r="C760" s="197" t="s">
        <v>101</v>
      </c>
      <c r="D760" s="197" t="s">
        <v>100</v>
      </c>
      <c r="G760" s="197" t="s">
        <v>100</v>
      </c>
      <c r="H760" s="197" t="s">
        <v>1529</v>
      </c>
    </row>
    <row r="761" spans="1:8" ht="15">
      <c r="A761" s="197">
        <v>646</v>
      </c>
      <c r="B761" s="197" t="s">
        <v>102</v>
      </c>
      <c r="C761" s="197" t="s">
        <v>103</v>
      </c>
      <c r="D761" s="197" t="s">
        <v>102</v>
      </c>
      <c r="G761" s="197" t="s">
        <v>102</v>
      </c>
      <c r="H761" s="197" t="s">
        <v>1593</v>
      </c>
    </row>
    <row r="762" spans="1:8" ht="15">
      <c r="A762" s="197">
        <v>412</v>
      </c>
      <c r="B762" s="197" t="s">
        <v>104</v>
      </c>
      <c r="C762" s="197" t="s">
        <v>105</v>
      </c>
      <c r="D762" s="197" t="s">
        <v>104</v>
      </c>
      <c r="G762" s="197" t="s">
        <v>104</v>
      </c>
      <c r="H762" s="197" t="s">
        <v>646</v>
      </c>
    </row>
    <row r="763" spans="1:8" ht="15">
      <c r="A763" s="197">
        <v>1058</v>
      </c>
      <c r="B763" s="197" t="s">
        <v>106</v>
      </c>
      <c r="C763" s="197" t="s">
        <v>107</v>
      </c>
      <c r="D763" s="197" t="s">
        <v>106</v>
      </c>
      <c r="G763" s="197" t="s">
        <v>106</v>
      </c>
      <c r="H763" s="197" t="s">
        <v>245</v>
      </c>
    </row>
    <row r="764" spans="1:8" ht="15">
      <c r="A764" s="197">
        <v>413</v>
      </c>
      <c r="B764" s="197" t="s">
        <v>108</v>
      </c>
      <c r="C764" s="197" t="s">
        <v>109</v>
      </c>
      <c r="D764" s="197" t="s">
        <v>108</v>
      </c>
      <c r="G764" s="197" t="s">
        <v>108</v>
      </c>
      <c r="H764" s="197" t="s">
        <v>1958</v>
      </c>
    </row>
    <row r="765" spans="1:8" ht="15">
      <c r="A765" s="197">
        <v>1025</v>
      </c>
      <c r="B765" s="197" t="s">
        <v>110</v>
      </c>
      <c r="D765" s="197" t="s">
        <v>110</v>
      </c>
      <c r="G765" s="197" t="s">
        <v>110</v>
      </c>
      <c r="H765" s="197" t="s">
        <v>1943</v>
      </c>
    </row>
    <row r="766" spans="1:8" ht="15">
      <c r="A766" s="197">
        <v>439</v>
      </c>
      <c r="B766" s="197" t="s">
        <v>111</v>
      </c>
      <c r="C766" s="197" t="s">
        <v>112</v>
      </c>
      <c r="D766" s="197" t="s">
        <v>111</v>
      </c>
      <c r="G766" s="197" t="s">
        <v>111</v>
      </c>
      <c r="H766" s="197" t="s">
        <v>793</v>
      </c>
    </row>
    <row r="767" spans="1:8" ht="15">
      <c r="A767" s="197">
        <v>1039</v>
      </c>
      <c r="B767" s="197" t="s">
        <v>113</v>
      </c>
      <c r="C767" s="197" t="s">
        <v>114</v>
      </c>
      <c r="D767" s="197" t="s">
        <v>113</v>
      </c>
      <c r="G767" s="197" t="s">
        <v>113</v>
      </c>
      <c r="H767" s="197" t="s">
        <v>1987</v>
      </c>
    </row>
    <row r="768" spans="1:8" ht="15">
      <c r="A768" s="197">
        <v>905</v>
      </c>
      <c r="B768" s="197" t="s">
        <v>115</v>
      </c>
      <c r="C768" s="197" t="s">
        <v>116</v>
      </c>
      <c r="D768" s="197" t="s">
        <v>115</v>
      </c>
      <c r="G768" s="197" t="s">
        <v>115</v>
      </c>
      <c r="H768" s="197" t="s">
        <v>357</v>
      </c>
    </row>
    <row r="769" spans="1:8" ht="15">
      <c r="A769" s="197">
        <v>906</v>
      </c>
      <c r="B769" s="197" t="s">
        <v>117</v>
      </c>
      <c r="C769" s="197" t="s">
        <v>118</v>
      </c>
      <c r="D769" s="197" t="s">
        <v>117</v>
      </c>
      <c r="G769" s="197" t="s">
        <v>117</v>
      </c>
      <c r="H769" s="197" t="s">
        <v>550</v>
      </c>
    </row>
    <row r="770" spans="1:8" ht="15">
      <c r="A770" s="197">
        <v>255</v>
      </c>
      <c r="B770" s="197" t="s">
        <v>119</v>
      </c>
      <c r="C770" s="197" t="s">
        <v>120</v>
      </c>
      <c r="D770" s="197" t="s">
        <v>119</v>
      </c>
      <c r="G770" s="197" t="s">
        <v>119</v>
      </c>
      <c r="H770" s="197" t="s">
        <v>1494</v>
      </c>
    </row>
    <row r="771" spans="1:8" ht="15">
      <c r="A771" s="197">
        <v>414</v>
      </c>
      <c r="B771" s="197" t="s">
        <v>1329</v>
      </c>
      <c r="C771" s="197" t="s">
        <v>699</v>
      </c>
      <c r="D771" s="197" t="s">
        <v>1329</v>
      </c>
      <c r="G771" s="197" t="s">
        <v>1329</v>
      </c>
      <c r="H771" s="197" t="s">
        <v>639</v>
      </c>
    </row>
    <row r="772" spans="1:8" ht="15">
      <c r="A772" s="197">
        <v>907</v>
      </c>
      <c r="B772" s="197" t="s">
        <v>121</v>
      </c>
      <c r="C772" s="197" t="s">
        <v>122</v>
      </c>
      <c r="D772" s="197" t="s">
        <v>121</v>
      </c>
      <c r="G772" s="197" t="s">
        <v>121</v>
      </c>
      <c r="H772" s="197" t="s">
        <v>2424</v>
      </c>
    </row>
    <row r="773" spans="1:8" ht="15">
      <c r="A773" s="197">
        <v>416</v>
      </c>
      <c r="B773" s="197" t="s">
        <v>123</v>
      </c>
      <c r="C773" s="197" t="s">
        <v>124</v>
      </c>
      <c r="D773" s="197" t="s">
        <v>123</v>
      </c>
      <c r="G773" s="197" t="s">
        <v>123</v>
      </c>
      <c r="H773" s="197" t="s">
        <v>21</v>
      </c>
    </row>
    <row r="774" spans="1:8" ht="15">
      <c r="A774" s="197">
        <v>1007</v>
      </c>
      <c r="B774" s="197" t="s">
        <v>125</v>
      </c>
      <c r="C774" s="197" t="s">
        <v>126</v>
      </c>
      <c r="D774" s="197" t="s">
        <v>125</v>
      </c>
      <c r="G774" s="197" t="s">
        <v>125</v>
      </c>
      <c r="H774" s="197" t="s">
        <v>398</v>
      </c>
    </row>
    <row r="775" spans="1:8" ht="15">
      <c r="A775" s="197">
        <v>908</v>
      </c>
      <c r="B775" s="197" t="s">
        <v>1310</v>
      </c>
      <c r="C775" s="197" t="s">
        <v>1311</v>
      </c>
      <c r="D775" s="197" t="s">
        <v>1310</v>
      </c>
      <c r="G775" s="197" t="s">
        <v>1310</v>
      </c>
      <c r="H775" s="197" t="s">
        <v>306</v>
      </c>
    </row>
    <row r="776" spans="1:8" ht="15">
      <c r="A776" s="197">
        <v>417</v>
      </c>
      <c r="B776" s="197" t="s">
        <v>127</v>
      </c>
      <c r="C776" s="197" t="s">
        <v>128</v>
      </c>
      <c r="D776" s="197" t="s">
        <v>127</v>
      </c>
      <c r="G776" s="197" t="s">
        <v>127</v>
      </c>
      <c r="H776" s="197" t="s">
        <v>578</v>
      </c>
    </row>
    <row r="777" spans="1:8" ht="15">
      <c r="A777" s="197">
        <v>67</v>
      </c>
      <c r="B777" s="197" t="s">
        <v>129</v>
      </c>
      <c r="C777" s="197" t="s">
        <v>755</v>
      </c>
      <c r="D777" s="197" t="s">
        <v>129</v>
      </c>
      <c r="G777" s="197" t="s">
        <v>129</v>
      </c>
      <c r="H777" s="197" t="s">
        <v>391</v>
      </c>
    </row>
    <row r="778" spans="1:8" ht="15">
      <c r="A778" s="197">
        <v>594</v>
      </c>
      <c r="B778" s="197" t="s">
        <v>130</v>
      </c>
      <c r="C778" s="197" t="s">
        <v>131</v>
      </c>
      <c r="D778" s="197" t="s">
        <v>130</v>
      </c>
      <c r="G778" s="197" t="s">
        <v>130</v>
      </c>
      <c r="H778" s="197" t="s">
        <v>791</v>
      </c>
    </row>
    <row r="779" spans="1:8" ht="15">
      <c r="A779" s="197">
        <v>419</v>
      </c>
      <c r="B779" s="197" t="s">
        <v>132</v>
      </c>
      <c r="C779" s="197" t="s">
        <v>133</v>
      </c>
      <c r="D779" s="197" t="s">
        <v>132</v>
      </c>
      <c r="G779" s="197" t="s">
        <v>132</v>
      </c>
      <c r="H779" s="197" t="s">
        <v>1948</v>
      </c>
    </row>
    <row r="780" spans="1:8" ht="15">
      <c r="A780" s="197">
        <v>420</v>
      </c>
      <c r="B780" s="197" t="s">
        <v>134</v>
      </c>
      <c r="C780" s="197" t="s">
        <v>1222</v>
      </c>
      <c r="D780" s="197" t="s">
        <v>134</v>
      </c>
      <c r="G780" s="197" t="s">
        <v>134</v>
      </c>
      <c r="H780" s="197" t="s">
        <v>634</v>
      </c>
    </row>
    <row r="781" spans="1:8" ht="15">
      <c r="A781" s="197">
        <v>693</v>
      </c>
      <c r="B781" s="197" t="s">
        <v>135</v>
      </c>
      <c r="C781" s="197" t="s">
        <v>136</v>
      </c>
      <c r="D781" s="197" t="s">
        <v>135</v>
      </c>
      <c r="G781" s="197" t="s">
        <v>135</v>
      </c>
      <c r="H781" s="197" t="s">
        <v>1867</v>
      </c>
    </row>
    <row r="782" spans="1:8" ht="15">
      <c r="A782" s="197">
        <v>421</v>
      </c>
      <c r="B782" s="197" t="s">
        <v>137</v>
      </c>
      <c r="C782" s="197" t="s">
        <v>138</v>
      </c>
      <c r="D782" s="197" t="s">
        <v>137</v>
      </c>
      <c r="G782" s="197" t="s">
        <v>137</v>
      </c>
      <c r="H782" s="197" t="s">
        <v>1370</v>
      </c>
    </row>
    <row r="783" spans="1:8" ht="15">
      <c r="A783" s="197">
        <v>422</v>
      </c>
      <c r="B783" s="197" t="s">
        <v>139</v>
      </c>
      <c r="C783" s="197" t="s">
        <v>140</v>
      </c>
      <c r="D783" s="197" t="s">
        <v>139</v>
      </c>
      <c r="G783" s="197" t="s">
        <v>139</v>
      </c>
      <c r="H783" s="197" t="s">
        <v>1633</v>
      </c>
    </row>
    <row r="784" spans="1:8" ht="15">
      <c r="A784" s="197">
        <v>909</v>
      </c>
      <c r="B784" s="197" t="s">
        <v>141</v>
      </c>
      <c r="C784" s="197" t="s">
        <v>142</v>
      </c>
      <c r="D784" s="197" t="s">
        <v>141</v>
      </c>
      <c r="G784" s="197" t="s">
        <v>141</v>
      </c>
      <c r="H784" s="197" t="s">
        <v>2278</v>
      </c>
    </row>
    <row r="785" spans="1:8" ht="15">
      <c r="A785" s="197">
        <v>1010</v>
      </c>
      <c r="B785" s="197" t="s">
        <v>143</v>
      </c>
      <c r="C785" s="197" t="s">
        <v>144</v>
      </c>
      <c r="D785" s="197" t="s">
        <v>143</v>
      </c>
      <c r="G785" s="197" t="s">
        <v>143</v>
      </c>
      <c r="H785" s="197" t="s">
        <v>1833</v>
      </c>
    </row>
    <row r="786" spans="1:8" ht="15">
      <c r="A786" s="197">
        <v>592</v>
      </c>
      <c r="B786" s="197" t="s">
        <v>145</v>
      </c>
      <c r="C786" s="197" t="s">
        <v>146</v>
      </c>
      <c r="D786" s="197" t="s">
        <v>145</v>
      </c>
      <c r="G786" s="197" t="s">
        <v>145</v>
      </c>
      <c r="H786" s="197" t="s">
        <v>361</v>
      </c>
    </row>
    <row r="787" spans="1:8" ht="15">
      <c r="A787" s="197">
        <v>910</v>
      </c>
      <c r="B787" s="197" t="s">
        <v>147</v>
      </c>
      <c r="D787" s="197" t="s">
        <v>147</v>
      </c>
      <c r="G787" s="197" t="s">
        <v>147</v>
      </c>
      <c r="H787" s="197" t="s">
        <v>136</v>
      </c>
    </row>
    <row r="788" spans="1:8" ht="15">
      <c r="A788" s="197">
        <v>911</v>
      </c>
      <c r="B788" s="197" t="s">
        <v>148</v>
      </c>
      <c r="C788" s="197" t="s">
        <v>149</v>
      </c>
      <c r="D788" s="197" t="s">
        <v>148</v>
      </c>
      <c r="G788" s="197" t="s">
        <v>148</v>
      </c>
      <c r="H788" s="197" t="s">
        <v>1916</v>
      </c>
    </row>
    <row r="789" spans="1:8" ht="15">
      <c r="A789" s="197">
        <v>1021</v>
      </c>
      <c r="B789" s="197" t="s">
        <v>150</v>
      </c>
      <c r="C789" s="197" t="s">
        <v>151</v>
      </c>
      <c r="D789" s="197" t="s">
        <v>150</v>
      </c>
      <c r="G789" s="197" t="s">
        <v>150</v>
      </c>
      <c r="H789" s="197" t="s">
        <v>202</v>
      </c>
    </row>
    <row r="790" spans="1:8" ht="15">
      <c r="A790" s="197">
        <v>424</v>
      </c>
      <c r="B790" s="197" t="s">
        <v>152</v>
      </c>
      <c r="C790" s="197" t="s">
        <v>153</v>
      </c>
      <c r="D790" s="197" t="s">
        <v>152</v>
      </c>
      <c r="G790" s="197" t="s">
        <v>152</v>
      </c>
      <c r="H790" s="197" t="s">
        <v>1153</v>
      </c>
    </row>
    <row r="791" spans="1:8" ht="15">
      <c r="A791" s="197">
        <v>1012</v>
      </c>
      <c r="B791" s="197" t="s">
        <v>154</v>
      </c>
      <c r="C791" s="197" t="s">
        <v>155</v>
      </c>
      <c r="D791" s="197" t="s">
        <v>154</v>
      </c>
      <c r="G791" s="197" t="s">
        <v>154</v>
      </c>
      <c r="H791" s="197" t="s">
        <v>257</v>
      </c>
    </row>
    <row r="792" spans="1:8" ht="15">
      <c r="A792" s="197">
        <v>425</v>
      </c>
      <c r="B792" s="197" t="s">
        <v>156</v>
      </c>
      <c r="C792" s="197" t="s">
        <v>157</v>
      </c>
      <c r="D792" s="197" t="s">
        <v>156</v>
      </c>
      <c r="G792" s="197" t="s">
        <v>156</v>
      </c>
      <c r="H792" s="197" t="s">
        <v>2560</v>
      </c>
    </row>
    <row r="793" spans="1:8" ht="15">
      <c r="A793" s="197">
        <v>423</v>
      </c>
      <c r="B793" s="197" t="s">
        <v>158</v>
      </c>
      <c r="C793" s="197" t="s">
        <v>159</v>
      </c>
      <c r="D793" s="197" t="s">
        <v>158</v>
      </c>
      <c r="G793" s="197" t="s">
        <v>158</v>
      </c>
      <c r="H793" s="197" t="s">
        <v>378</v>
      </c>
    </row>
    <row r="794" spans="1:8" ht="15">
      <c r="A794" s="197">
        <v>912</v>
      </c>
      <c r="B794" s="197" t="s">
        <v>160</v>
      </c>
      <c r="C794" s="197" t="s">
        <v>161</v>
      </c>
      <c r="D794" s="197" t="s">
        <v>160</v>
      </c>
      <c r="G794" s="197" t="s">
        <v>160</v>
      </c>
      <c r="H794" s="197" t="s">
        <v>2458</v>
      </c>
    </row>
    <row r="795" spans="1:8" ht="15">
      <c r="A795" s="197">
        <v>426</v>
      </c>
      <c r="B795" s="197" t="s">
        <v>162</v>
      </c>
      <c r="C795" s="197" t="s">
        <v>163</v>
      </c>
      <c r="D795" s="197" t="s">
        <v>162</v>
      </c>
      <c r="G795" s="197" t="s">
        <v>162</v>
      </c>
      <c r="H795" s="197" t="s">
        <v>2281</v>
      </c>
    </row>
    <row r="796" spans="1:8" ht="15">
      <c r="A796" s="197">
        <v>913</v>
      </c>
      <c r="B796" s="197" t="s">
        <v>164</v>
      </c>
      <c r="C796" s="197" t="s">
        <v>165</v>
      </c>
      <c r="D796" s="197" t="s">
        <v>164</v>
      </c>
      <c r="G796" s="197" t="s">
        <v>164</v>
      </c>
      <c r="H796" s="197" t="s">
        <v>1556</v>
      </c>
    </row>
    <row r="797" spans="1:8" ht="15">
      <c r="A797" s="197">
        <v>27</v>
      </c>
      <c r="B797" s="197" t="s">
        <v>166</v>
      </c>
      <c r="C797" s="197" t="s">
        <v>167</v>
      </c>
      <c r="D797" s="197" t="s">
        <v>166</v>
      </c>
      <c r="G797" s="197" t="s">
        <v>166</v>
      </c>
      <c r="H797" s="197" t="s">
        <v>816</v>
      </c>
    </row>
    <row r="798" spans="1:8" ht="15">
      <c r="A798" s="197">
        <v>428</v>
      </c>
      <c r="B798" s="197" t="s">
        <v>168</v>
      </c>
      <c r="D798" s="197" t="s">
        <v>168</v>
      </c>
      <c r="G798" s="197" t="s">
        <v>168</v>
      </c>
      <c r="H798" s="197" t="s">
        <v>28</v>
      </c>
    </row>
    <row r="799" spans="1:8" ht="15">
      <c r="A799" s="197">
        <v>429</v>
      </c>
      <c r="B799" s="197" t="s">
        <v>169</v>
      </c>
      <c r="D799" s="197" t="s">
        <v>169</v>
      </c>
      <c r="G799" s="197" t="s">
        <v>169</v>
      </c>
      <c r="H799" s="197" t="s">
        <v>1601</v>
      </c>
    </row>
    <row r="800" spans="1:8" ht="15">
      <c r="A800" s="197">
        <v>914</v>
      </c>
      <c r="B800" s="197" t="s">
        <v>170</v>
      </c>
      <c r="D800" s="197" t="s">
        <v>170</v>
      </c>
      <c r="G800" s="197" t="s">
        <v>170</v>
      </c>
      <c r="H800" s="197" t="s">
        <v>1910</v>
      </c>
    </row>
    <row r="801" spans="1:8" ht="15">
      <c r="A801" s="197">
        <v>427</v>
      </c>
      <c r="B801" s="197" t="s">
        <v>171</v>
      </c>
      <c r="C801" s="197" t="s">
        <v>172</v>
      </c>
      <c r="D801" s="197" t="s">
        <v>171</v>
      </c>
      <c r="G801" s="197" t="s">
        <v>171</v>
      </c>
      <c r="H801" s="197" t="s">
        <v>574</v>
      </c>
    </row>
    <row r="802" spans="1:8" ht="15">
      <c r="A802" s="197">
        <v>430</v>
      </c>
      <c r="B802" s="197" t="s">
        <v>173</v>
      </c>
      <c r="C802" s="197" t="s">
        <v>174</v>
      </c>
      <c r="D802" s="197" t="s">
        <v>173</v>
      </c>
      <c r="G802" s="197" t="s">
        <v>173</v>
      </c>
      <c r="H802" s="197" t="s">
        <v>278</v>
      </c>
    </row>
    <row r="803" spans="1:8" ht="15">
      <c r="A803" s="197">
        <v>432</v>
      </c>
      <c r="B803" s="197" t="s">
        <v>175</v>
      </c>
      <c r="C803" s="197" t="s">
        <v>176</v>
      </c>
      <c r="D803" s="197" t="s">
        <v>175</v>
      </c>
      <c r="G803" s="197" t="s">
        <v>175</v>
      </c>
      <c r="H803" s="197" t="s">
        <v>1873</v>
      </c>
    </row>
    <row r="804" spans="1:8" ht="15">
      <c r="A804" s="197">
        <v>433</v>
      </c>
      <c r="B804" s="197" t="s">
        <v>1208</v>
      </c>
      <c r="C804" s="197" t="s">
        <v>1272</v>
      </c>
      <c r="D804" s="197" t="s">
        <v>1208</v>
      </c>
      <c r="G804" s="197" t="s">
        <v>1208</v>
      </c>
      <c r="H804" s="197" t="s">
        <v>1963</v>
      </c>
    </row>
    <row r="805" spans="1:8" ht="15">
      <c r="A805" s="197">
        <v>260</v>
      </c>
      <c r="B805" s="197" t="s">
        <v>177</v>
      </c>
      <c r="C805" s="197" t="s">
        <v>178</v>
      </c>
      <c r="D805" s="197" t="s">
        <v>177</v>
      </c>
      <c r="G805" s="197" t="s">
        <v>177</v>
      </c>
      <c r="H805" s="197" t="s">
        <v>564</v>
      </c>
    </row>
    <row r="806" spans="1:8" ht="15">
      <c r="A806" s="197">
        <v>435</v>
      </c>
      <c r="B806" s="197" t="s">
        <v>179</v>
      </c>
      <c r="C806" s="197" t="s">
        <v>180</v>
      </c>
      <c r="D806" s="197" t="s">
        <v>179</v>
      </c>
      <c r="G806" s="197" t="s">
        <v>179</v>
      </c>
      <c r="H806" s="197" t="s">
        <v>559</v>
      </c>
    </row>
    <row r="807" spans="1:8" ht="15">
      <c r="A807" s="197">
        <v>434</v>
      </c>
      <c r="B807" s="197" t="s">
        <v>181</v>
      </c>
      <c r="D807" s="197" t="s">
        <v>181</v>
      </c>
      <c r="G807" s="197" t="s">
        <v>181</v>
      </c>
      <c r="H807" s="197" t="s">
        <v>2153</v>
      </c>
    </row>
    <row r="808" spans="1:8" ht="15">
      <c r="A808" s="197">
        <v>436</v>
      </c>
      <c r="B808" s="197" t="s">
        <v>638</v>
      </c>
      <c r="C808" s="197" t="s">
        <v>639</v>
      </c>
      <c r="D808" s="197" t="s">
        <v>638</v>
      </c>
      <c r="G808" s="197" t="s">
        <v>638</v>
      </c>
      <c r="H808" s="197" t="s">
        <v>1932</v>
      </c>
    </row>
    <row r="809" spans="1:8" ht="15">
      <c r="A809" s="197">
        <v>437</v>
      </c>
      <c r="B809" s="197" t="s">
        <v>182</v>
      </c>
      <c r="C809" s="197" t="s">
        <v>183</v>
      </c>
      <c r="D809" s="197" t="s">
        <v>182</v>
      </c>
      <c r="G809" s="197" t="s">
        <v>182</v>
      </c>
      <c r="H809" s="197" t="s">
        <v>2119</v>
      </c>
    </row>
    <row r="810" spans="1:8" ht="15">
      <c r="A810" s="197">
        <v>1019</v>
      </c>
      <c r="B810" s="197" t="s">
        <v>184</v>
      </c>
      <c r="C810" s="197" t="s">
        <v>185</v>
      </c>
      <c r="D810" s="197" t="s">
        <v>184</v>
      </c>
      <c r="G810" s="197" t="s">
        <v>184</v>
      </c>
      <c r="H810" s="197" t="s">
        <v>2521</v>
      </c>
    </row>
    <row r="811" spans="1:8" ht="15">
      <c r="A811" s="197">
        <v>1020</v>
      </c>
      <c r="B811" s="197" t="s">
        <v>186</v>
      </c>
      <c r="C811" s="197" t="s">
        <v>187</v>
      </c>
      <c r="D811" s="197" t="s">
        <v>186</v>
      </c>
      <c r="G811" s="197" t="s">
        <v>186</v>
      </c>
      <c r="H811" s="197" t="s">
        <v>1784</v>
      </c>
    </row>
    <row r="812" spans="1:8" ht="15">
      <c r="A812" s="197">
        <v>445</v>
      </c>
      <c r="B812" s="197" t="s">
        <v>188</v>
      </c>
      <c r="C812" s="197" t="s">
        <v>189</v>
      </c>
      <c r="D812" s="197" t="s">
        <v>188</v>
      </c>
      <c r="G812" s="197" t="s">
        <v>188</v>
      </c>
      <c r="H812" s="197" t="s">
        <v>424</v>
      </c>
    </row>
    <row r="813" spans="1:7" ht="15">
      <c r="A813" s="197">
        <v>450</v>
      </c>
      <c r="B813" s="197" t="s">
        <v>190</v>
      </c>
      <c r="C813" s="197" t="s">
        <v>191</v>
      </c>
      <c r="D813" s="197" t="s">
        <v>190</v>
      </c>
      <c r="G813" s="197" t="s">
        <v>190</v>
      </c>
    </row>
    <row r="814" spans="1:7" ht="15">
      <c r="A814" s="197">
        <v>915</v>
      </c>
      <c r="B814" s="197" t="s">
        <v>192</v>
      </c>
      <c r="D814" s="197" t="s">
        <v>192</v>
      </c>
      <c r="G814" s="197" t="s">
        <v>192</v>
      </c>
    </row>
    <row r="815" spans="1:7" ht="15">
      <c r="A815" s="197">
        <v>661</v>
      </c>
      <c r="B815" s="197" t="s">
        <v>193</v>
      </c>
      <c r="C815" s="197" t="s">
        <v>194</v>
      </c>
      <c r="D815" s="197" t="s">
        <v>193</v>
      </c>
      <c r="G815" s="197" t="s">
        <v>193</v>
      </c>
    </row>
    <row r="816" spans="1:7" ht="15">
      <c r="A816" s="197">
        <v>613</v>
      </c>
      <c r="B816" s="197" t="s">
        <v>195</v>
      </c>
      <c r="C816" s="197" t="s">
        <v>196</v>
      </c>
      <c r="D816" s="197" t="s">
        <v>195</v>
      </c>
      <c r="G816" s="197" t="s">
        <v>195</v>
      </c>
    </row>
    <row r="817" spans="1:7" ht="15">
      <c r="A817" s="197">
        <v>916</v>
      </c>
      <c r="B817" s="197" t="s">
        <v>197</v>
      </c>
      <c r="D817" s="197" t="s">
        <v>197</v>
      </c>
      <c r="G817" s="197" t="s">
        <v>197</v>
      </c>
    </row>
    <row r="818" spans="1:7" ht="15">
      <c r="A818" s="197">
        <v>440</v>
      </c>
      <c r="B818" s="197" t="s">
        <v>198</v>
      </c>
      <c r="C818" s="197" t="s">
        <v>199</v>
      </c>
      <c r="D818" s="197" t="s">
        <v>198</v>
      </c>
      <c r="G818" s="197" t="s">
        <v>198</v>
      </c>
    </row>
    <row r="819" spans="1:7" ht="15">
      <c r="A819" s="197">
        <v>443</v>
      </c>
      <c r="B819" s="197" t="s">
        <v>200</v>
      </c>
      <c r="D819" s="197" t="s">
        <v>200</v>
      </c>
      <c r="G819" s="197" t="s">
        <v>200</v>
      </c>
    </row>
    <row r="820" spans="1:7" ht="15">
      <c r="A820" s="197">
        <v>627</v>
      </c>
      <c r="B820" s="197" t="s">
        <v>201</v>
      </c>
      <c r="C820" s="197" t="s">
        <v>202</v>
      </c>
      <c r="D820" s="197" t="s">
        <v>201</v>
      </c>
      <c r="G820" s="197" t="s">
        <v>201</v>
      </c>
    </row>
    <row r="821" spans="1:7" ht="15">
      <c r="A821" s="197">
        <v>990</v>
      </c>
      <c r="B821" s="197" t="s">
        <v>203</v>
      </c>
      <c r="C821" s="197" t="s">
        <v>204</v>
      </c>
      <c r="D821" s="197" t="s">
        <v>203</v>
      </c>
      <c r="G821" s="197" t="s">
        <v>203</v>
      </c>
    </row>
    <row r="822" spans="1:7" ht="15">
      <c r="A822" s="197">
        <v>992</v>
      </c>
      <c r="B822" s="197" t="s">
        <v>205</v>
      </c>
      <c r="D822" s="197" t="s">
        <v>205</v>
      </c>
      <c r="G822" s="197" t="s">
        <v>205</v>
      </c>
    </row>
    <row r="823" spans="1:7" ht="15">
      <c r="A823" s="197">
        <v>441</v>
      </c>
      <c r="B823" s="197" t="s">
        <v>206</v>
      </c>
      <c r="C823" s="197" t="s">
        <v>207</v>
      </c>
      <c r="D823" s="197" t="s">
        <v>206</v>
      </c>
      <c r="G823" s="197" t="s">
        <v>206</v>
      </c>
    </row>
    <row r="824" spans="1:7" ht="15">
      <c r="A824" s="197">
        <v>444</v>
      </c>
      <c r="B824" s="197" t="s">
        <v>208</v>
      </c>
      <c r="C824" s="197" t="s">
        <v>209</v>
      </c>
      <c r="D824" s="197" t="s">
        <v>208</v>
      </c>
      <c r="G824" s="197" t="s">
        <v>208</v>
      </c>
    </row>
    <row r="825" spans="1:7" ht="15">
      <c r="A825" s="197">
        <v>986</v>
      </c>
      <c r="B825" s="197" t="s">
        <v>210</v>
      </c>
      <c r="D825" s="197" t="s">
        <v>210</v>
      </c>
      <c r="G825" s="197" t="s">
        <v>210</v>
      </c>
    </row>
    <row r="826" spans="1:7" ht="15">
      <c r="A826" s="197">
        <v>448</v>
      </c>
      <c r="B826" s="197" t="s">
        <v>211</v>
      </c>
      <c r="C826" s="197" t="s">
        <v>212</v>
      </c>
      <c r="D826" s="197" t="s">
        <v>211</v>
      </c>
      <c r="G826" s="197" t="s">
        <v>211</v>
      </c>
    </row>
    <row r="827" spans="1:7" ht="15">
      <c r="A827" s="197">
        <v>917</v>
      </c>
      <c r="B827" s="197" t="s">
        <v>213</v>
      </c>
      <c r="C827" s="197" t="s">
        <v>214</v>
      </c>
      <c r="D827" s="197" t="s">
        <v>213</v>
      </c>
      <c r="G827" s="197" t="s">
        <v>213</v>
      </c>
    </row>
    <row r="828" spans="1:7" ht="15">
      <c r="A828" s="197">
        <v>918</v>
      </c>
      <c r="B828" s="197" t="s">
        <v>215</v>
      </c>
      <c r="C828" s="197" t="s">
        <v>216</v>
      </c>
      <c r="D828" s="197" t="s">
        <v>215</v>
      </c>
      <c r="G828" s="197" t="s">
        <v>215</v>
      </c>
    </row>
    <row r="829" spans="1:7" ht="15">
      <c r="A829" s="197">
        <v>642</v>
      </c>
      <c r="B829" s="197" t="s">
        <v>217</v>
      </c>
      <c r="C829" s="197" t="s">
        <v>218</v>
      </c>
      <c r="D829" s="197" t="s">
        <v>217</v>
      </c>
      <c r="G829" s="197" t="s">
        <v>217</v>
      </c>
    </row>
    <row r="830" spans="1:7" ht="15">
      <c r="A830" s="197">
        <v>451</v>
      </c>
      <c r="B830" s="197" t="s">
        <v>219</v>
      </c>
      <c r="C830" s="197" t="s">
        <v>220</v>
      </c>
      <c r="D830" s="197" t="s">
        <v>219</v>
      </c>
      <c r="G830" s="197" t="s">
        <v>219</v>
      </c>
    </row>
    <row r="831" spans="1:7" ht="15">
      <c r="A831" s="197">
        <v>919</v>
      </c>
      <c r="B831" s="197" t="s">
        <v>221</v>
      </c>
      <c r="C831" s="197" t="s">
        <v>222</v>
      </c>
      <c r="D831" s="197" t="s">
        <v>221</v>
      </c>
      <c r="G831" s="197" t="s">
        <v>221</v>
      </c>
    </row>
    <row r="832" spans="1:7" ht="15">
      <c r="A832" s="197">
        <v>643</v>
      </c>
      <c r="B832" s="197" t="s">
        <v>223</v>
      </c>
      <c r="C832" s="197" t="s">
        <v>224</v>
      </c>
      <c r="D832" s="197" t="s">
        <v>223</v>
      </c>
      <c r="G832" s="197" t="s">
        <v>223</v>
      </c>
    </row>
    <row r="833" spans="1:7" ht="15">
      <c r="A833" s="197">
        <v>455</v>
      </c>
      <c r="B833" s="197" t="s">
        <v>225</v>
      </c>
      <c r="C833" s="197" t="s">
        <v>226</v>
      </c>
      <c r="D833" s="197" t="s">
        <v>225</v>
      </c>
      <c r="G833" s="197" t="s">
        <v>225</v>
      </c>
    </row>
    <row r="834" spans="1:7" ht="15">
      <c r="A834" s="197">
        <v>920</v>
      </c>
      <c r="B834" s="197" t="s">
        <v>227</v>
      </c>
      <c r="C834" s="197" t="s">
        <v>228</v>
      </c>
      <c r="D834" s="197" t="s">
        <v>227</v>
      </c>
      <c r="G834" s="197" t="s">
        <v>227</v>
      </c>
    </row>
    <row r="835" spans="1:7" ht="15">
      <c r="A835" s="197">
        <v>987</v>
      </c>
      <c r="B835" s="197" t="s">
        <v>229</v>
      </c>
      <c r="C835" s="197" t="s">
        <v>230</v>
      </c>
      <c r="D835" s="197" t="s">
        <v>229</v>
      </c>
      <c r="G835" s="197" t="s">
        <v>229</v>
      </c>
    </row>
    <row r="836" spans="1:7" ht="15">
      <c r="A836" s="197">
        <v>458</v>
      </c>
      <c r="B836" s="197" t="s">
        <v>231</v>
      </c>
      <c r="C836" s="197" t="s">
        <v>672</v>
      </c>
      <c r="D836" s="197" t="s">
        <v>231</v>
      </c>
      <c r="G836" s="197" t="s">
        <v>231</v>
      </c>
    </row>
    <row r="837" spans="1:7" ht="15">
      <c r="A837" s="197">
        <v>454</v>
      </c>
      <c r="B837" s="197" t="s">
        <v>780</v>
      </c>
      <c r="C837" s="197" t="s">
        <v>781</v>
      </c>
      <c r="D837" s="197" t="s">
        <v>780</v>
      </c>
      <c r="G837" s="197" t="s">
        <v>780</v>
      </c>
    </row>
    <row r="838" spans="1:7" ht="15">
      <c r="A838" s="197">
        <v>921</v>
      </c>
      <c r="B838" s="197" t="s">
        <v>232</v>
      </c>
      <c r="C838" s="197" t="s">
        <v>233</v>
      </c>
      <c r="D838" s="197" t="s">
        <v>232</v>
      </c>
      <c r="G838" s="197" t="s">
        <v>232</v>
      </c>
    </row>
    <row r="839" spans="1:7" ht="15">
      <c r="A839" s="197">
        <v>460</v>
      </c>
      <c r="B839" s="197" t="s">
        <v>234</v>
      </c>
      <c r="C839" s="197" t="s">
        <v>235</v>
      </c>
      <c r="D839" s="197" t="s">
        <v>234</v>
      </c>
      <c r="G839" s="197" t="s">
        <v>234</v>
      </c>
    </row>
    <row r="840" spans="1:7" ht="15">
      <c r="A840" s="197">
        <v>459</v>
      </c>
      <c r="B840" s="197" t="s">
        <v>236</v>
      </c>
      <c r="C840" s="197" t="s">
        <v>237</v>
      </c>
      <c r="D840" s="197" t="s">
        <v>236</v>
      </c>
      <c r="G840" s="197" t="s">
        <v>236</v>
      </c>
    </row>
    <row r="841" spans="1:7" ht="15">
      <c r="A841" s="197">
        <v>922</v>
      </c>
      <c r="B841" s="197" t="s">
        <v>238</v>
      </c>
      <c r="D841" s="197" t="s">
        <v>238</v>
      </c>
      <c r="G841" s="197" t="s">
        <v>238</v>
      </c>
    </row>
    <row r="842" spans="1:7" ht="15">
      <c r="A842" s="197">
        <v>461</v>
      </c>
      <c r="B842" s="197" t="s">
        <v>239</v>
      </c>
      <c r="D842" s="197" t="s">
        <v>239</v>
      </c>
      <c r="G842" s="197" t="s">
        <v>239</v>
      </c>
    </row>
    <row r="843" spans="1:7" ht="15">
      <c r="A843" s="197">
        <v>393</v>
      </c>
      <c r="B843" s="197" t="s">
        <v>240</v>
      </c>
      <c r="C843" s="197" t="s">
        <v>241</v>
      </c>
      <c r="D843" s="197" t="s">
        <v>240</v>
      </c>
      <c r="G843" s="197" t="s">
        <v>240</v>
      </c>
    </row>
    <row r="844" spans="1:7" ht="15">
      <c r="A844" s="197">
        <v>462</v>
      </c>
      <c r="B844" s="197" t="s">
        <v>242</v>
      </c>
      <c r="C844" s="197" t="s">
        <v>243</v>
      </c>
      <c r="D844" s="197" t="s">
        <v>242</v>
      </c>
      <c r="G844" s="197" t="s">
        <v>242</v>
      </c>
    </row>
    <row r="845" spans="1:7" ht="15">
      <c r="A845" s="197">
        <v>923</v>
      </c>
      <c r="B845" s="197" t="s">
        <v>244</v>
      </c>
      <c r="C845" s="197" t="s">
        <v>245</v>
      </c>
      <c r="D845" s="197" t="s">
        <v>244</v>
      </c>
      <c r="G845" s="197" t="s">
        <v>244</v>
      </c>
    </row>
    <row r="846" spans="1:7" ht="15">
      <c r="A846" s="197">
        <v>463</v>
      </c>
      <c r="B846" s="197" t="s">
        <v>797</v>
      </c>
      <c r="C846" s="197" t="s">
        <v>1280</v>
      </c>
      <c r="D846" s="197" t="s">
        <v>797</v>
      </c>
      <c r="G846" s="197" t="s">
        <v>797</v>
      </c>
    </row>
    <row r="847" spans="1:7" ht="15">
      <c r="A847" s="197">
        <v>988</v>
      </c>
      <c r="B847" s="197" t="s">
        <v>246</v>
      </c>
      <c r="D847" s="197" t="s">
        <v>246</v>
      </c>
      <c r="G847" s="197" t="s">
        <v>246</v>
      </c>
    </row>
    <row r="848" spans="1:7" ht="15">
      <c r="A848" s="197">
        <v>924</v>
      </c>
      <c r="B848" s="197" t="s">
        <v>247</v>
      </c>
      <c r="C848" s="197" t="s">
        <v>248</v>
      </c>
      <c r="D848" s="197" t="s">
        <v>247</v>
      </c>
      <c r="G848" s="197" t="s">
        <v>247</v>
      </c>
    </row>
    <row r="849" spans="1:7" ht="15">
      <c r="A849" s="197">
        <v>36</v>
      </c>
      <c r="B849" s="197" t="s">
        <v>249</v>
      </c>
      <c r="D849" s="197" t="s">
        <v>249</v>
      </c>
      <c r="G849" s="197" t="s">
        <v>249</v>
      </c>
    </row>
    <row r="850" spans="1:7" ht="15">
      <c r="A850" s="197">
        <v>464</v>
      </c>
      <c r="B850" s="197" t="s">
        <v>250</v>
      </c>
      <c r="C850" s="197" t="s">
        <v>251</v>
      </c>
      <c r="D850" s="197" t="s">
        <v>250</v>
      </c>
      <c r="G850" s="197" t="s">
        <v>250</v>
      </c>
    </row>
    <row r="851" spans="1:7" ht="15">
      <c r="A851" s="197">
        <v>465</v>
      </c>
      <c r="B851" s="197" t="s">
        <v>252</v>
      </c>
      <c r="C851" s="197" t="s">
        <v>253</v>
      </c>
      <c r="D851" s="197" t="s">
        <v>252</v>
      </c>
      <c r="G851" s="197" t="s">
        <v>252</v>
      </c>
    </row>
    <row r="852" spans="1:7" ht="15">
      <c r="A852" s="197">
        <v>466</v>
      </c>
      <c r="B852" s="197" t="s">
        <v>254</v>
      </c>
      <c r="C852" s="197" t="s">
        <v>255</v>
      </c>
      <c r="D852" s="197" t="s">
        <v>254</v>
      </c>
      <c r="G852" s="197" t="s">
        <v>254</v>
      </c>
    </row>
    <row r="853" spans="1:7" ht="15">
      <c r="A853" s="197">
        <v>563</v>
      </c>
      <c r="B853" s="197" t="s">
        <v>256</v>
      </c>
      <c r="C853" s="197" t="s">
        <v>257</v>
      </c>
      <c r="D853" s="197" t="s">
        <v>256</v>
      </c>
      <c r="G853" s="197" t="s">
        <v>256</v>
      </c>
    </row>
    <row r="854" spans="1:7" ht="15">
      <c r="A854" s="197">
        <v>468</v>
      </c>
      <c r="B854" s="197" t="s">
        <v>258</v>
      </c>
      <c r="C854" s="197" t="s">
        <v>259</v>
      </c>
      <c r="D854" s="197" t="s">
        <v>258</v>
      </c>
      <c r="G854" s="197" t="s">
        <v>258</v>
      </c>
    </row>
    <row r="855" spans="1:7" ht="15">
      <c r="A855" s="197">
        <v>696</v>
      </c>
      <c r="B855" s="197" t="s">
        <v>680</v>
      </c>
      <c r="C855" s="197" t="s">
        <v>260</v>
      </c>
      <c r="D855" s="197" t="s">
        <v>680</v>
      </c>
      <c r="G855" s="197" t="s">
        <v>680</v>
      </c>
    </row>
    <row r="856" spans="1:7" ht="15">
      <c r="A856" s="197">
        <v>1046</v>
      </c>
      <c r="B856" s="197" t="s">
        <v>261</v>
      </c>
      <c r="C856" s="197" t="s">
        <v>262</v>
      </c>
      <c r="D856" s="197" t="s">
        <v>261</v>
      </c>
      <c r="G856" s="197" t="s">
        <v>261</v>
      </c>
    </row>
    <row r="857" spans="1:7" ht="15">
      <c r="A857" s="197">
        <v>470</v>
      </c>
      <c r="B857" s="197" t="s">
        <v>810</v>
      </c>
      <c r="C857" s="197" t="s">
        <v>811</v>
      </c>
      <c r="D857" s="197" t="s">
        <v>810</v>
      </c>
      <c r="G857" s="197" t="s">
        <v>810</v>
      </c>
    </row>
    <row r="858" spans="1:7" ht="15">
      <c r="A858" s="197">
        <v>471</v>
      </c>
      <c r="B858" s="197" t="s">
        <v>813</v>
      </c>
      <c r="C858" s="197" t="s">
        <v>814</v>
      </c>
      <c r="D858" s="197" t="s">
        <v>813</v>
      </c>
      <c r="G858" s="197" t="s">
        <v>813</v>
      </c>
    </row>
    <row r="859" spans="1:7" ht="15">
      <c r="A859" s="197">
        <v>472</v>
      </c>
      <c r="B859" s="197" t="s">
        <v>817</v>
      </c>
      <c r="C859" s="197" t="s">
        <v>1238</v>
      </c>
      <c r="D859" s="197" t="s">
        <v>817</v>
      </c>
      <c r="G859" s="197" t="s">
        <v>817</v>
      </c>
    </row>
    <row r="860" spans="1:7" ht="15">
      <c r="A860" s="197">
        <v>1081</v>
      </c>
      <c r="B860" s="197" t="s">
        <v>263</v>
      </c>
      <c r="C860" s="197" t="s">
        <v>264</v>
      </c>
      <c r="D860" s="197" t="s">
        <v>263</v>
      </c>
      <c r="G860" s="197" t="s">
        <v>263</v>
      </c>
    </row>
    <row r="861" spans="1:7" ht="15">
      <c r="A861" s="197">
        <v>474</v>
      </c>
      <c r="B861" s="197" t="s">
        <v>265</v>
      </c>
      <c r="C861" s="197" t="s">
        <v>266</v>
      </c>
      <c r="D861" s="197" t="s">
        <v>265</v>
      </c>
      <c r="G861" s="197" t="s">
        <v>265</v>
      </c>
    </row>
    <row r="862" spans="1:7" ht="15">
      <c r="A862" s="197">
        <v>925</v>
      </c>
      <c r="B862" s="197" t="s">
        <v>267</v>
      </c>
      <c r="C862" s="197" t="s">
        <v>268</v>
      </c>
      <c r="D862" s="197" t="s">
        <v>267</v>
      </c>
      <c r="G862" s="197" t="s">
        <v>267</v>
      </c>
    </row>
    <row r="863" spans="1:7" ht="15">
      <c r="A863" s="197">
        <v>475</v>
      </c>
      <c r="B863" s="197" t="s">
        <v>269</v>
      </c>
      <c r="C863" s="197" t="s">
        <v>270</v>
      </c>
      <c r="D863" s="197" t="s">
        <v>269</v>
      </c>
      <c r="G863" s="197" t="s">
        <v>269</v>
      </c>
    </row>
    <row r="864" spans="1:7" ht="15">
      <c r="A864" s="197">
        <v>926</v>
      </c>
      <c r="B864" s="197" t="s">
        <v>1330</v>
      </c>
      <c r="C864" s="197" t="s">
        <v>1331</v>
      </c>
      <c r="D864" s="197" t="s">
        <v>1330</v>
      </c>
      <c r="G864" s="197" t="s">
        <v>1330</v>
      </c>
    </row>
    <row r="865" spans="1:7" ht="15">
      <c r="A865" s="197">
        <v>1051</v>
      </c>
      <c r="B865" s="197" t="s">
        <v>271</v>
      </c>
      <c r="C865" s="197" t="s">
        <v>272</v>
      </c>
      <c r="D865" s="197" t="s">
        <v>271</v>
      </c>
      <c r="G865" s="197" t="s">
        <v>271</v>
      </c>
    </row>
    <row r="866" spans="1:7" ht="15">
      <c r="A866" s="197">
        <v>476</v>
      </c>
      <c r="B866" s="197" t="s">
        <v>273</v>
      </c>
      <c r="C866" s="197" t="s">
        <v>274</v>
      </c>
      <c r="D866" s="197" t="s">
        <v>273</v>
      </c>
      <c r="G866" s="197" t="s">
        <v>273</v>
      </c>
    </row>
    <row r="867" spans="1:7" ht="15">
      <c r="A867" s="197">
        <v>1042</v>
      </c>
      <c r="B867" s="197" t="s">
        <v>275</v>
      </c>
      <c r="C867" s="197" t="s">
        <v>276</v>
      </c>
      <c r="D867" s="197" t="s">
        <v>275</v>
      </c>
      <c r="G867" s="197" t="s">
        <v>275</v>
      </c>
    </row>
    <row r="868" spans="1:7" ht="15">
      <c r="A868" s="197">
        <v>477</v>
      </c>
      <c r="B868" s="197" t="s">
        <v>277</v>
      </c>
      <c r="C868" s="197" t="s">
        <v>278</v>
      </c>
      <c r="D868" s="197" t="s">
        <v>277</v>
      </c>
      <c r="G868" s="197" t="s">
        <v>277</v>
      </c>
    </row>
    <row r="869" spans="1:7" ht="15">
      <c r="A869" s="197">
        <v>478</v>
      </c>
      <c r="B869" s="197" t="s">
        <v>633</v>
      </c>
      <c r="C869" s="197" t="s">
        <v>634</v>
      </c>
      <c r="D869" s="197" t="s">
        <v>633</v>
      </c>
      <c r="G869" s="197" t="s">
        <v>633</v>
      </c>
    </row>
    <row r="870" spans="1:7" ht="15">
      <c r="A870" s="197">
        <v>479</v>
      </c>
      <c r="B870" s="197" t="s">
        <v>279</v>
      </c>
      <c r="C870" s="197" t="s">
        <v>280</v>
      </c>
      <c r="D870" s="197" t="s">
        <v>279</v>
      </c>
      <c r="G870" s="197" t="s">
        <v>279</v>
      </c>
    </row>
    <row r="871" spans="1:7" ht="15">
      <c r="A871" s="197">
        <v>480</v>
      </c>
      <c r="B871" s="197" t="s">
        <v>281</v>
      </c>
      <c r="C871" s="197" t="s">
        <v>282</v>
      </c>
      <c r="D871" s="197" t="s">
        <v>281</v>
      </c>
      <c r="G871" s="197" t="s">
        <v>281</v>
      </c>
    </row>
    <row r="872" spans="1:7" ht="15">
      <c r="A872" s="197">
        <v>1054</v>
      </c>
      <c r="B872" s="197" t="s">
        <v>283</v>
      </c>
      <c r="D872" s="197" t="s">
        <v>283</v>
      </c>
      <c r="G872" s="197" t="s">
        <v>283</v>
      </c>
    </row>
    <row r="873" spans="1:7" ht="15">
      <c r="A873" s="197">
        <v>1031</v>
      </c>
      <c r="B873" s="197" t="s">
        <v>284</v>
      </c>
      <c r="C873" s="197" t="s">
        <v>285</v>
      </c>
      <c r="D873" s="197" t="s">
        <v>284</v>
      </c>
      <c r="G873" s="197" t="s">
        <v>284</v>
      </c>
    </row>
    <row r="874" spans="1:7" ht="15">
      <c r="A874" s="197">
        <v>1188</v>
      </c>
      <c r="B874" s="197" t="s">
        <v>286</v>
      </c>
      <c r="C874" s="197" t="s">
        <v>287</v>
      </c>
      <c r="D874" s="197" t="s">
        <v>286</v>
      </c>
      <c r="G874" s="197" t="s">
        <v>286</v>
      </c>
    </row>
    <row r="875" spans="1:7" ht="15">
      <c r="A875" s="197">
        <v>655</v>
      </c>
      <c r="B875" s="197" t="s">
        <v>288</v>
      </c>
      <c r="C875" s="197" t="s">
        <v>289</v>
      </c>
      <c r="D875" s="197" t="s">
        <v>288</v>
      </c>
      <c r="G875" s="197" t="s">
        <v>288</v>
      </c>
    </row>
    <row r="876" spans="1:7" ht="15">
      <c r="A876" s="197">
        <v>927</v>
      </c>
      <c r="B876" s="197" t="s">
        <v>290</v>
      </c>
      <c r="C876" s="197" t="s">
        <v>291</v>
      </c>
      <c r="D876" s="197" t="s">
        <v>290</v>
      </c>
      <c r="G876" s="197" t="s">
        <v>290</v>
      </c>
    </row>
    <row r="877" spans="1:7" ht="15">
      <c r="A877" s="197">
        <v>928</v>
      </c>
      <c r="B877" s="197" t="s">
        <v>292</v>
      </c>
      <c r="C877" s="197" t="s">
        <v>293</v>
      </c>
      <c r="D877" s="197" t="s">
        <v>292</v>
      </c>
      <c r="G877" s="197" t="s">
        <v>292</v>
      </c>
    </row>
    <row r="878" spans="1:7" ht="15">
      <c r="A878" s="197">
        <v>929</v>
      </c>
      <c r="B878" s="197" t="s">
        <v>294</v>
      </c>
      <c r="D878" s="197" t="s">
        <v>294</v>
      </c>
      <c r="G878" s="197" t="s">
        <v>294</v>
      </c>
    </row>
    <row r="879" spans="1:7" ht="15">
      <c r="A879" s="197">
        <v>930</v>
      </c>
      <c r="B879" s="197" t="s">
        <v>295</v>
      </c>
      <c r="D879" s="197" t="s">
        <v>295</v>
      </c>
      <c r="G879" s="197" t="s">
        <v>295</v>
      </c>
    </row>
    <row r="880" spans="1:7" ht="15">
      <c r="A880" s="197">
        <v>481</v>
      </c>
      <c r="B880" s="197" t="s">
        <v>296</v>
      </c>
      <c r="C880" s="197" t="s">
        <v>297</v>
      </c>
      <c r="D880" s="197" t="s">
        <v>296</v>
      </c>
      <c r="G880" s="197" t="s">
        <v>296</v>
      </c>
    </row>
    <row r="881" spans="1:7" ht="15">
      <c r="A881" s="197">
        <v>1047</v>
      </c>
      <c r="B881" s="197" t="s">
        <v>298</v>
      </c>
      <c r="D881" s="197" t="s">
        <v>298</v>
      </c>
      <c r="G881" s="197" t="s">
        <v>298</v>
      </c>
    </row>
    <row r="882" spans="1:7" ht="15">
      <c r="A882" s="197">
        <v>587</v>
      </c>
      <c r="B882" s="197" t="s">
        <v>299</v>
      </c>
      <c r="C882" s="197" t="s">
        <v>681</v>
      </c>
      <c r="D882" s="197" t="s">
        <v>299</v>
      </c>
      <c r="G882" s="197" t="s">
        <v>299</v>
      </c>
    </row>
    <row r="883" spans="1:7" ht="15">
      <c r="A883" s="197">
        <v>295</v>
      </c>
      <c r="B883" s="197" t="s">
        <v>1259</v>
      </c>
      <c r="C883" s="197" t="s">
        <v>671</v>
      </c>
      <c r="D883" s="197" t="s">
        <v>1259</v>
      </c>
      <c r="G883" s="197" t="s">
        <v>1259</v>
      </c>
    </row>
    <row r="884" spans="1:7" ht="15">
      <c r="A884" s="197">
        <v>482</v>
      </c>
      <c r="B884" s="197" t="s">
        <v>753</v>
      </c>
      <c r="C884" s="197" t="s">
        <v>754</v>
      </c>
      <c r="D884" s="197" t="s">
        <v>753</v>
      </c>
      <c r="G884" s="197" t="s">
        <v>753</v>
      </c>
    </row>
    <row r="885" spans="1:7" ht="15">
      <c r="A885" s="197">
        <v>483</v>
      </c>
      <c r="B885" s="197" t="s">
        <v>300</v>
      </c>
      <c r="C885" s="197" t="s">
        <v>301</v>
      </c>
      <c r="D885" s="197" t="s">
        <v>300</v>
      </c>
      <c r="G885" s="197" t="s">
        <v>300</v>
      </c>
    </row>
    <row r="886" spans="1:7" ht="15">
      <c r="A886" s="197">
        <v>484</v>
      </c>
      <c r="B886" s="197" t="s">
        <v>649</v>
      </c>
      <c r="C886" s="197" t="s">
        <v>1288</v>
      </c>
      <c r="D886" s="197" t="s">
        <v>649</v>
      </c>
      <c r="G886" s="197" t="s">
        <v>649</v>
      </c>
    </row>
    <row r="887" spans="1:7" ht="15">
      <c r="A887" s="197">
        <v>485</v>
      </c>
      <c r="B887" s="197" t="s">
        <v>651</v>
      </c>
      <c r="C887" s="197" t="s">
        <v>652</v>
      </c>
      <c r="D887" s="197" t="s">
        <v>651</v>
      </c>
      <c r="G887" s="197" t="s">
        <v>651</v>
      </c>
    </row>
    <row r="888" spans="1:7" ht="15">
      <c r="A888" s="197">
        <v>931</v>
      </c>
      <c r="B888" s="197" t="s">
        <v>302</v>
      </c>
      <c r="D888" s="197" t="s">
        <v>302</v>
      </c>
      <c r="G888" s="197" t="s">
        <v>302</v>
      </c>
    </row>
    <row r="889" spans="1:7" ht="15">
      <c r="A889" s="197">
        <v>677</v>
      </c>
      <c r="B889" s="197" t="s">
        <v>303</v>
      </c>
      <c r="C889" s="197" t="s">
        <v>304</v>
      </c>
      <c r="D889" s="197" t="s">
        <v>303</v>
      </c>
      <c r="G889" s="197" t="s">
        <v>303</v>
      </c>
    </row>
    <row r="890" spans="1:7" ht="15">
      <c r="A890" s="197">
        <v>678</v>
      </c>
      <c r="B890" s="197" t="s">
        <v>305</v>
      </c>
      <c r="C890" s="197" t="s">
        <v>306</v>
      </c>
      <c r="D890" s="197" t="s">
        <v>305</v>
      </c>
      <c r="G890" s="197" t="s">
        <v>305</v>
      </c>
    </row>
    <row r="891" spans="1:7" ht="15">
      <c r="A891" s="197">
        <v>1152</v>
      </c>
      <c r="B891" s="197" t="s">
        <v>307</v>
      </c>
      <c r="D891" s="197" t="s">
        <v>307</v>
      </c>
      <c r="G891" s="197" t="s">
        <v>307</v>
      </c>
    </row>
    <row r="892" spans="1:7" ht="15">
      <c r="A892" s="197">
        <v>932</v>
      </c>
      <c r="B892" s="197" t="s">
        <v>308</v>
      </c>
      <c r="C892" s="197" t="s">
        <v>309</v>
      </c>
      <c r="D892" s="197" t="s">
        <v>308</v>
      </c>
      <c r="G892" s="197" t="s">
        <v>308</v>
      </c>
    </row>
    <row r="893" spans="1:7" ht="15">
      <c r="A893" s="197">
        <v>614</v>
      </c>
      <c r="B893" s="197" t="s">
        <v>677</v>
      </c>
      <c r="C893" s="197" t="s">
        <v>1211</v>
      </c>
      <c r="D893" s="197" t="s">
        <v>677</v>
      </c>
      <c r="G893" s="197" t="s">
        <v>677</v>
      </c>
    </row>
    <row r="894" spans="1:7" ht="15">
      <c r="A894" s="197">
        <v>933</v>
      </c>
      <c r="B894" s="197" t="s">
        <v>310</v>
      </c>
      <c r="D894" s="197" t="s">
        <v>310</v>
      </c>
      <c r="G894" s="197" t="s">
        <v>310</v>
      </c>
    </row>
    <row r="895" spans="1:7" ht="15">
      <c r="A895" s="197">
        <v>142</v>
      </c>
      <c r="B895" s="197" t="s">
        <v>311</v>
      </c>
      <c r="D895" s="197" t="s">
        <v>311</v>
      </c>
      <c r="G895" s="197" t="s">
        <v>311</v>
      </c>
    </row>
    <row r="896" spans="1:7" ht="15">
      <c r="A896" s="197">
        <v>487</v>
      </c>
      <c r="B896" s="197" t="s">
        <v>1313</v>
      </c>
      <c r="C896" s="197" t="s">
        <v>1314</v>
      </c>
      <c r="D896" s="197" t="s">
        <v>1313</v>
      </c>
      <c r="G896" s="197" t="s">
        <v>1313</v>
      </c>
    </row>
    <row r="897" spans="1:7" ht="15">
      <c r="A897" s="197">
        <v>488</v>
      </c>
      <c r="B897" s="197" t="s">
        <v>312</v>
      </c>
      <c r="C897" s="197" t="s">
        <v>313</v>
      </c>
      <c r="D897" s="197" t="s">
        <v>312</v>
      </c>
      <c r="G897" s="197" t="s">
        <v>312</v>
      </c>
    </row>
    <row r="898" spans="1:7" ht="15">
      <c r="A898" s="197">
        <v>934</v>
      </c>
      <c r="B898" s="197" t="s">
        <v>314</v>
      </c>
      <c r="C898" s="197" t="s">
        <v>315</v>
      </c>
      <c r="D898" s="197" t="s">
        <v>314</v>
      </c>
      <c r="G898" s="197" t="s">
        <v>314</v>
      </c>
    </row>
    <row r="899" spans="1:7" ht="15">
      <c r="A899" s="197">
        <v>489</v>
      </c>
      <c r="B899" s="197" t="s">
        <v>316</v>
      </c>
      <c r="D899" s="197" t="s">
        <v>316</v>
      </c>
      <c r="G899" s="197" t="s">
        <v>316</v>
      </c>
    </row>
    <row r="900" spans="1:7" ht="15">
      <c r="A900" s="197">
        <v>935</v>
      </c>
      <c r="B900" s="197" t="s">
        <v>317</v>
      </c>
      <c r="D900" s="197" t="s">
        <v>317</v>
      </c>
      <c r="G900" s="197" t="s">
        <v>317</v>
      </c>
    </row>
    <row r="901" spans="1:7" ht="15">
      <c r="A901" s="197">
        <v>491</v>
      </c>
      <c r="B901" s="197" t="s">
        <v>318</v>
      </c>
      <c r="C901" s="197" t="s">
        <v>319</v>
      </c>
      <c r="D901" s="197" t="s">
        <v>318</v>
      </c>
      <c r="G901" s="197" t="s">
        <v>318</v>
      </c>
    </row>
    <row r="902" spans="1:7" ht="15">
      <c r="A902" s="197">
        <v>1032</v>
      </c>
      <c r="B902" s="197" t="s">
        <v>320</v>
      </c>
      <c r="C902" s="197" t="s">
        <v>321</v>
      </c>
      <c r="D902" s="197" t="s">
        <v>320</v>
      </c>
      <c r="G902" s="197" t="s">
        <v>320</v>
      </c>
    </row>
    <row r="903" spans="1:7" ht="15">
      <c r="A903" s="197">
        <v>1033</v>
      </c>
      <c r="B903" s="197" t="s">
        <v>322</v>
      </c>
      <c r="C903" s="197" t="s">
        <v>323</v>
      </c>
      <c r="D903" s="197" t="s">
        <v>322</v>
      </c>
      <c r="G903" s="197" t="s">
        <v>322</v>
      </c>
    </row>
    <row r="904" spans="1:7" ht="15">
      <c r="A904" s="197">
        <v>936</v>
      </c>
      <c r="B904" s="197" t="s">
        <v>324</v>
      </c>
      <c r="C904" s="197" t="s">
        <v>325</v>
      </c>
      <c r="D904" s="197" t="s">
        <v>324</v>
      </c>
      <c r="G904" s="197" t="s">
        <v>324</v>
      </c>
    </row>
    <row r="905" spans="1:7" ht="15">
      <c r="A905" s="197">
        <v>494</v>
      </c>
      <c r="B905" s="197" t="s">
        <v>326</v>
      </c>
      <c r="C905" s="197" t="s">
        <v>327</v>
      </c>
      <c r="D905" s="197" t="s">
        <v>326</v>
      </c>
      <c r="G905" s="197" t="s">
        <v>326</v>
      </c>
    </row>
    <row r="906" spans="1:7" ht="15">
      <c r="A906" s="197">
        <v>680</v>
      </c>
      <c r="B906" s="197" t="s">
        <v>328</v>
      </c>
      <c r="C906" s="197" t="s">
        <v>329</v>
      </c>
      <c r="D906" s="197" t="s">
        <v>328</v>
      </c>
      <c r="G906" s="197" t="s">
        <v>328</v>
      </c>
    </row>
    <row r="907" spans="1:7" ht="15">
      <c r="A907" s="197">
        <v>492</v>
      </c>
      <c r="B907" s="197" t="s">
        <v>330</v>
      </c>
      <c r="C907" s="197" t="s">
        <v>331</v>
      </c>
      <c r="D907" s="197" t="s">
        <v>330</v>
      </c>
      <c r="G907" s="197" t="s">
        <v>330</v>
      </c>
    </row>
    <row r="908" spans="1:7" ht="15">
      <c r="A908" s="197">
        <v>493</v>
      </c>
      <c r="B908" s="197" t="s">
        <v>332</v>
      </c>
      <c r="C908" s="197" t="s">
        <v>333</v>
      </c>
      <c r="D908" s="197" t="s">
        <v>332</v>
      </c>
      <c r="G908" s="197" t="s">
        <v>332</v>
      </c>
    </row>
    <row r="909" spans="1:7" ht="15">
      <c r="A909" s="197">
        <v>496</v>
      </c>
      <c r="B909" s="197" t="s">
        <v>743</v>
      </c>
      <c r="C909" s="197" t="s">
        <v>1223</v>
      </c>
      <c r="D909" s="197" t="s">
        <v>743</v>
      </c>
      <c r="G909" s="197" t="s">
        <v>743</v>
      </c>
    </row>
    <row r="910" spans="1:7" ht="15">
      <c r="A910" s="197">
        <v>495</v>
      </c>
      <c r="B910" s="197" t="s">
        <v>334</v>
      </c>
      <c r="D910" s="197" t="s">
        <v>334</v>
      </c>
      <c r="G910" s="197" t="s">
        <v>334</v>
      </c>
    </row>
    <row r="911" spans="1:7" ht="15">
      <c r="A911" s="197">
        <v>615</v>
      </c>
      <c r="B911" s="197" t="s">
        <v>335</v>
      </c>
      <c r="C911" s="197" t="s">
        <v>336</v>
      </c>
      <c r="D911" s="197" t="s">
        <v>335</v>
      </c>
      <c r="G911" s="197" t="s">
        <v>335</v>
      </c>
    </row>
    <row r="912" spans="1:7" ht="15">
      <c r="A912" s="197">
        <v>497</v>
      </c>
      <c r="B912" s="197" t="s">
        <v>337</v>
      </c>
      <c r="C912" s="197" t="s">
        <v>338</v>
      </c>
      <c r="D912" s="197" t="s">
        <v>337</v>
      </c>
      <c r="G912" s="197" t="s">
        <v>337</v>
      </c>
    </row>
    <row r="913" spans="1:7" ht="15">
      <c r="A913" s="197">
        <v>498</v>
      </c>
      <c r="B913" s="197" t="s">
        <v>339</v>
      </c>
      <c r="C913" s="197" t="s">
        <v>819</v>
      </c>
      <c r="D913" s="197" t="s">
        <v>339</v>
      </c>
      <c r="G913" s="197" t="s">
        <v>339</v>
      </c>
    </row>
    <row r="914" spans="1:7" ht="15">
      <c r="A914" s="197">
        <v>937</v>
      </c>
      <c r="B914" s="197" t="s">
        <v>340</v>
      </c>
      <c r="C914" s="197" t="s">
        <v>341</v>
      </c>
      <c r="D914" s="197" t="s">
        <v>340</v>
      </c>
      <c r="G914" s="197" t="s">
        <v>340</v>
      </c>
    </row>
    <row r="915" spans="1:7" ht="15">
      <c r="A915" s="197">
        <v>500</v>
      </c>
      <c r="B915" s="197" t="s">
        <v>342</v>
      </c>
      <c r="C915" s="197" t="s">
        <v>343</v>
      </c>
      <c r="D915" s="197" t="s">
        <v>342</v>
      </c>
      <c r="G915" s="197" t="s">
        <v>342</v>
      </c>
    </row>
    <row r="916" spans="1:7" ht="15">
      <c r="A916" s="197">
        <v>938</v>
      </c>
      <c r="B916" s="197" t="s">
        <v>344</v>
      </c>
      <c r="C916" s="197" t="s">
        <v>345</v>
      </c>
      <c r="D916" s="197" t="s">
        <v>344</v>
      </c>
      <c r="G916" s="197" t="s">
        <v>344</v>
      </c>
    </row>
    <row r="917" spans="1:7" ht="15">
      <c r="A917" s="197">
        <v>939</v>
      </c>
      <c r="B917" s="197" t="s">
        <v>346</v>
      </c>
      <c r="C917" s="197" t="s">
        <v>1229</v>
      </c>
      <c r="D917" s="197" t="s">
        <v>346</v>
      </c>
      <c r="G917" s="197" t="s">
        <v>346</v>
      </c>
    </row>
    <row r="918" spans="1:7" ht="15">
      <c r="A918" s="197">
        <v>1115</v>
      </c>
      <c r="B918" s="197" t="s">
        <v>347</v>
      </c>
      <c r="C918" s="197" t="s">
        <v>348</v>
      </c>
      <c r="D918" s="197" t="s">
        <v>347</v>
      </c>
      <c r="G918" s="197" t="s">
        <v>347</v>
      </c>
    </row>
    <row r="919" spans="1:7" ht="15">
      <c r="A919" s="197">
        <v>504</v>
      </c>
      <c r="B919" s="197" t="s">
        <v>708</v>
      </c>
      <c r="C919" s="197" t="s">
        <v>709</v>
      </c>
      <c r="D919" s="197" t="s">
        <v>708</v>
      </c>
      <c r="G919" s="197" t="s">
        <v>708</v>
      </c>
    </row>
    <row r="920" spans="1:7" ht="15">
      <c r="A920" s="197">
        <v>506</v>
      </c>
      <c r="B920" s="197" t="s">
        <v>706</v>
      </c>
      <c r="C920" s="197" t="s">
        <v>349</v>
      </c>
      <c r="D920" s="197" t="s">
        <v>706</v>
      </c>
      <c r="G920" s="197" t="s">
        <v>706</v>
      </c>
    </row>
    <row r="921" spans="1:7" ht="15">
      <c r="A921" s="197">
        <v>507</v>
      </c>
      <c r="B921" s="197" t="s">
        <v>710</v>
      </c>
      <c r="C921" s="197" t="s">
        <v>711</v>
      </c>
      <c r="D921" s="197" t="s">
        <v>710</v>
      </c>
      <c r="G921" s="197" t="s">
        <v>710</v>
      </c>
    </row>
    <row r="922" spans="1:7" ht="15">
      <c r="A922" s="197">
        <v>505</v>
      </c>
      <c r="B922" s="197" t="s">
        <v>350</v>
      </c>
      <c r="C922" s="197" t="s">
        <v>351</v>
      </c>
      <c r="D922" s="197" t="s">
        <v>350</v>
      </c>
      <c r="G922" s="197" t="s">
        <v>350</v>
      </c>
    </row>
    <row r="923" spans="1:7" ht="15">
      <c r="A923" s="197">
        <v>503</v>
      </c>
      <c r="B923" s="197" t="s">
        <v>352</v>
      </c>
      <c r="C923" s="197" t="s">
        <v>353</v>
      </c>
      <c r="D923" s="197" t="s">
        <v>352</v>
      </c>
      <c r="G923" s="197" t="s">
        <v>352</v>
      </c>
    </row>
    <row r="924" spans="1:7" ht="15">
      <c r="A924" s="197">
        <v>1138</v>
      </c>
      <c r="B924" s="197" t="s">
        <v>354</v>
      </c>
      <c r="D924" s="197" t="s">
        <v>354</v>
      </c>
      <c r="G924" s="197" t="s">
        <v>354</v>
      </c>
    </row>
    <row r="925" spans="1:7" ht="15">
      <c r="A925" s="197">
        <v>1186</v>
      </c>
      <c r="B925" s="197" t="s">
        <v>355</v>
      </c>
      <c r="D925" s="197" t="s">
        <v>355</v>
      </c>
      <c r="G925" s="197" t="s">
        <v>355</v>
      </c>
    </row>
    <row r="926" spans="1:7" ht="15">
      <c r="A926" s="197">
        <v>940</v>
      </c>
      <c r="B926" s="197" t="s">
        <v>356</v>
      </c>
      <c r="D926" s="197" t="s">
        <v>356</v>
      </c>
      <c r="G926" s="197" t="s">
        <v>356</v>
      </c>
    </row>
    <row r="927" spans="1:7" ht="15">
      <c r="A927" s="197">
        <v>508</v>
      </c>
      <c r="B927" s="197" t="s">
        <v>627</v>
      </c>
      <c r="C927" s="197" t="s">
        <v>357</v>
      </c>
      <c r="D927" s="197" t="s">
        <v>627</v>
      </c>
      <c r="G927" s="197" t="s">
        <v>627</v>
      </c>
    </row>
    <row r="928" spans="1:7" ht="15">
      <c r="A928" s="197">
        <v>941</v>
      </c>
      <c r="B928" s="197" t="s">
        <v>358</v>
      </c>
      <c r="C928" s="197" t="s">
        <v>359</v>
      </c>
      <c r="D928" s="197" t="s">
        <v>358</v>
      </c>
      <c r="G928" s="197" t="s">
        <v>358</v>
      </c>
    </row>
    <row r="929" spans="1:7" ht="15">
      <c r="A929" s="197">
        <v>509</v>
      </c>
      <c r="B929" s="197" t="s">
        <v>360</v>
      </c>
      <c r="C929" s="197" t="s">
        <v>361</v>
      </c>
      <c r="D929" s="197" t="s">
        <v>360</v>
      </c>
      <c r="G929" s="197" t="s">
        <v>360</v>
      </c>
    </row>
    <row r="930" spans="1:7" ht="15">
      <c r="A930" s="197">
        <v>511</v>
      </c>
      <c r="B930" s="197" t="s">
        <v>362</v>
      </c>
      <c r="C930" s="197" t="s">
        <v>363</v>
      </c>
      <c r="D930" s="197" t="s">
        <v>362</v>
      </c>
      <c r="G930" s="197" t="s">
        <v>362</v>
      </c>
    </row>
    <row r="931" spans="1:7" ht="15">
      <c r="A931" s="197">
        <v>510</v>
      </c>
      <c r="B931" s="197" t="s">
        <v>364</v>
      </c>
      <c r="C931" s="197" t="s">
        <v>365</v>
      </c>
      <c r="D931" s="197" t="s">
        <v>364</v>
      </c>
      <c r="G931" s="197" t="s">
        <v>364</v>
      </c>
    </row>
    <row r="932" spans="1:7" ht="15">
      <c r="A932" s="197">
        <v>942</v>
      </c>
      <c r="B932" s="197" t="s">
        <v>366</v>
      </c>
      <c r="C932" s="197" t="s">
        <v>367</v>
      </c>
      <c r="D932" s="197" t="s">
        <v>366</v>
      </c>
      <c r="G932" s="197" t="s">
        <v>366</v>
      </c>
    </row>
    <row r="933" spans="1:7" ht="15">
      <c r="A933" s="197">
        <v>1183</v>
      </c>
      <c r="B933" s="197" t="s">
        <v>368</v>
      </c>
      <c r="C933" s="197" t="s">
        <v>369</v>
      </c>
      <c r="D933" s="197" t="s">
        <v>368</v>
      </c>
      <c r="G933" s="197" t="s">
        <v>368</v>
      </c>
    </row>
    <row r="934" spans="1:7" ht="15">
      <c r="A934" s="197">
        <v>943</v>
      </c>
      <c r="B934" s="197" t="s">
        <v>370</v>
      </c>
      <c r="C934" s="197" t="s">
        <v>371</v>
      </c>
      <c r="D934" s="197" t="s">
        <v>370</v>
      </c>
      <c r="G934" s="197" t="s">
        <v>370</v>
      </c>
    </row>
    <row r="935" spans="1:7" ht="15">
      <c r="A935" s="197">
        <v>512</v>
      </c>
      <c r="B935" s="197" t="s">
        <v>372</v>
      </c>
      <c r="D935" s="197" t="s">
        <v>372</v>
      </c>
      <c r="G935" s="197" t="s">
        <v>372</v>
      </c>
    </row>
    <row r="936" spans="1:7" ht="15">
      <c r="A936" s="197">
        <v>628</v>
      </c>
      <c r="B936" s="197" t="s">
        <v>373</v>
      </c>
      <c r="C936" s="197" t="s">
        <v>374</v>
      </c>
      <c r="D936" s="197" t="s">
        <v>373</v>
      </c>
      <c r="G936" s="197" t="s">
        <v>373</v>
      </c>
    </row>
    <row r="937" spans="1:7" ht="15">
      <c r="A937" s="197">
        <v>944</v>
      </c>
      <c r="B937" s="197" t="s">
        <v>375</v>
      </c>
      <c r="C937" s="197" t="s">
        <v>376</v>
      </c>
      <c r="D937" s="197" t="s">
        <v>375</v>
      </c>
      <c r="G937" s="197" t="s">
        <v>375</v>
      </c>
    </row>
    <row r="938" spans="1:7" ht="15">
      <c r="A938" s="197">
        <v>599</v>
      </c>
      <c r="B938" s="197" t="s">
        <v>377</v>
      </c>
      <c r="C938" s="197" t="s">
        <v>378</v>
      </c>
      <c r="D938" s="197" t="s">
        <v>377</v>
      </c>
      <c r="G938" s="197" t="s">
        <v>377</v>
      </c>
    </row>
    <row r="939" spans="1:7" ht="15">
      <c r="A939" s="197">
        <v>513</v>
      </c>
      <c r="B939" s="197" t="s">
        <v>379</v>
      </c>
      <c r="D939" s="197" t="s">
        <v>379</v>
      </c>
      <c r="G939" s="197" t="s">
        <v>379</v>
      </c>
    </row>
    <row r="940" spans="1:7" ht="15">
      <c r="A940" s="197">
        <v>453</v>
      </c>
      <c r="B940" s="197" t="s">
        <v>380</v>
      </c>
      <c r="C940" s="197" t="s">
        <v>381</v>
      </c>
      <c r="D940" s="197" t="s">
        <v>380</v>
      </c>
      <c r="G940" s="197" t="s">
        <v>380</v>
      </c>
    </row>
    <row r="941" spans="1:7" ht="15">
      <c r="A941" s="197">
        <v>518</v>
      </c>
      <c r="B941" s="197" t="s">
        <v>382</v>
      </c>
      <c r="D941" s="197" t="s">
        <v>382</v>
      </c>
      <c r="G941" s="197" t="s">
        <v>382</v>
      </c>
    </row>
    <row r="942" spans="1:7" ht="15">
      <c r="A942" s="197">
        <v>514</v>
      </c>
      <c r="B942" s="197" t="s">
        <v>383</v>
      </c>
      <c r="C942" s="197" t="s">
        <v>384</v>
      </c>
      <c r="D942" s="197" t="s">
        <v>383</v>
      </c>
      <c r="G942" s="197" t="s">
        <v>383</v>
      </c>
    </row>
    <row r="943" spans="1:7" ht="15">
      <c r="A943" s="197">
        <v>945</v>
      </c>
      <c r="B943" s="197" t="s">
        <v>385</v>
      </c>
      <c r="D943" s="197" t="s">
        <v>385</v>
      </c>
      <c r="G943" s="197" t="s">
        <v>385</v>
      </c>
    </row>
    <row r="944" spans="1:7" ht="15">
      <c r="A944" s="197">
        <v>515</v>
      </c>
      <c r="B944" s="197" t="s">
        <v>386</v>
      </c>
      <c r="C944" s="197" t="s">
        <v>387</v>
      </c>
      <c r="D944" s="197" t="s">
        <v>386</v>
      </c>
      <c r="G944" s="197" t="s">
        <v>386</v>
      </c>
    </row>
    <row r="945" spans="1:7" ht="15">
      <c r="A945" s="197">
        <v>517</v>
      </c>
      <c r="B945" s="197" t="s">
        <v>745</v>
      </c>
      <c r="C945" s="197" t="s">
        <v>1225</v>
      </c>
      <c r="D945" s="197" t="s">
        <v>745</v>
      </c>
      <c r="G945" s="197" t="s">
        <v>745</v>
      </c>
    </row>
    <row r="946" spans="1:7" ht="15">
      <c r="A946" s="197">
        <v>946</v>
      </c>
      <c r="B946" s="197" t="s">
        <v>388</v>
      </c>
      <c r="C946" s="197" t="s">
        <v>389</v>
      </c>
      <c r="D946" s="197" t="s">
        <v>388</v>
      </c>
      <c r="G946" s="197" t="s">
        <v>388</v>
      </c>
    </row>
    <row r="947" spans="1:7" ht="15">
      <c r="A947" s="197">
        <v>520</v>
      </c>
      <c r="B947" s="197" t="s">
        <v>744</v>
      </c>
      <c r="C947" s="197" t="s">
        <v>1224</v>
      </c>
      <c r="D947" s="197" t="s">
        <v>744</v>
      </c>
      <c r="G947" s="197" t="s">
        <v>744</v>
      </c>
    </row>
    <row r="948" spans="1:7" ht="15">
      <c r="A948" s="197">
        <v>685</v>
      </c>
      <c r="B948" s="197" t="s">
        <v>390</v>
      </c>
      <c r="C948" s="197" t="s">
        <v>391</v>
      </c>
      <c r="D948" s="197" t="s">
        <v>390</v>
      </c>
      <c r="G948" s="197" t="s">
        <v>390</v>
      </c>
    </row>
    <row r="949" spans="1:7" ht="15">
      <c r="A949" s="197">
        <v>1130</v>
      </c>
      <c r="B949" s="197" t="s">
        <v>392</v>
      </c>
      <c r="D949" s="197" t="s">
        <v>392</v>
      </c>
      <c r="G949" s="197" t="s">
        <v>392</v>
      </c>
    </row>
    <row r="950" spans="1:7" ht="15">
      <c r="A950" s="197">
        <v>686</v>
      </c>
      <c r="B950" s="197" t="s">
        <v>393</v>
      </c>
      <c r="C950" s="197" t="s">
        <v>394</v>
      </c>
      <c r="D950" s="197" t="s">
        <v>393</v>
      </c>
      <c r="G950" s="197" t="s">
        <v>393</v>
      </c>
    </row>
    <row r="951" spans="1:7" ht="15">
      <c r="A951" s="197">
        <v>687</v>
      </c>
      <c r="B951" s="197" t="s">
        <v>395</v>
      </c>
      <c r="C951" s="197" t="s">
        <v>396</v>
      </c>
      <c r="D951" s="197" t="s">
        <v>395</v>
      </c>
      <c r="G951" s="197" t="s">
        <v>395</v>
      </c>
    </row>
    <row r="952" spans="1:7" ht="15">
      <c r="A952" s="197">
        <v>947</v>
      </c>
      <c r="B952" s="197" t="s">
        <v>397</v>
      </c>
      <c r="C952" s="197" t="s">
        <v>398</v>
      </c>
      <c r="D952" s="197" t="s">
        <v>397</v>
      </c>
      <c r="G952" s="197" t="s">
        <v>397</v>
      </c>
    </row>
    <row r="953" spans="1:7" ht="15">
      <c r="A953" s="197">
        <v>1153</v>
      </c>
      <c r="B953" s="197" t="s">
        <v>399</v>
      </c>
      <c r="D953" s="197" t="s">
        <v>399</v>
      </c>
      <c r="G953" s="197" t="s">
        <v>399</v>
      </c>
    </row>
    <row r="954" spans="1:7" ht="15">
      <c r="A954" s="197">
        <v>948</v>
      </c>
      <c r="B954" s="197" t="s">
        <v>400</v>
      </c>
      <c r="D954" s="197" t="s">
        <v>400</v>
      </c>
      <c r="G954" s="197" t="s">
        <v>400</v>
      </c>
    </row>
    <row r="955" spans="1:7" ht="15">
      <c r="A955" s="197">
        <v>521</v>
      </c>
      <c r="B955" s="197" t="s">
        <v>401</v>
      </c>
      <c r="D955" s="197" t="s">
        <v>401</v>
      </c>
      <c r="G955" s="197" t="s">
        <v>401</v>
      </c>
    </row>
    <row r="956" spans="1:7" ht="15">
      <c r="A956" s="197">
        <v>522</v>
      </c>
      <c r="B956" s="197" t="s">
        <v>402</v>
      </c>
      <c r="D956" s="197" t="s">
        <v>402</v>
      </c>
      <c r="G956" s="197" t="s">
        <v>402</v>
      </c>
    </row>
    <row r="957" spans="1:7" ht="15">
      <c r="A957" s="197">
        <v>523</v>
      </c>
      <c r="B957" s="197" t="s">
        <v>403</v>
      </c>
      <c r="C957" s="197" t="s">
        <v>404</v>
      </c>
      <c r="D957" s="197" t="s">
        <v>403</v>
      </c>
      <c r="G957" s="197" t="s">
        <v>403</v>
      </c>
    </row>
    <row r="958" spans="1:7" ht="15">
      <c r="A958" s="197">
        <v>524</v>
      </c>
      <c r="B958" s="197" t="s">
        <v>405</v>
      </c>
      <c r="C958" s="197" t="s">
        <v>406</v>
      </c>
      <c r="D958" s="197" t="s">
        <v>405</v>
      </c>
      <c r="G958" s="197" t="s">
        <v>405</v>
      </c>
    </row>
    <row r="959" spans="1:7" ht="15">
      <c r="A959" s="197">
        <v>949</v>
      </c>
      <c r="B959" s="197" t="s">
        <v>407</v>
      </c>
      <c r="D959" s="197" t="s">
        <v>407</v>
      </c>
      <c r="G959" s="197" t="s">
        <v>407</v>
      </c>
    </row>
    <row r="960" spans="1:7" ht="15">
      <c r="A960" s="197">
        <v>1150</v>
      </c>
      <c r="B960" s="197" t="s">
        <v>408</v>
      </c>
      <c r="C960" s="197" t="s">
        <v>409</v>
      </c>
      <c r="D960" s="197" t="s">
        <v>408</v>
      </c>
      <c r="G960" s="197" t="s">
        <v>408</v>
      </c>
    </row>
    <row r="961" spans="1:7" ht="15">
      <c r="A961" s="197">
        <v>617</v>
      </c>
      <c r="B961" s="197" t="s">
        <v>410</v>
      </c>
      <c r="C961" s="197" t="s">
        <v>411</v>
      </c>
      <c r="D961" s="197" t="s">
        <v>410</v>
      </c>
      <c r="G961" s="197" t="s">
        <v>410</v>
      </c>
    </row>
    <row r="962" spans="1:7" ht="15">
      <c r="A962" s="197">
        <v>1149</v>
      </c>
      <c r="B962" s="197" t="s">
        <v>412</v>
      </c>
      <c r="C962" s="197" t="s">
        <v>413</v>
      </c>
      <c r="D962" s="197" t="s">
        <v>412</v>
      </c>
      <c r="G962" s="197" t="s">
        <v>412</v>
      </c>
    </row>
    <row r="963" spans="1:7" ht="15">
      <c r="A963" s="197">
        <v>950</v>
      </c>
      <c r="B963" s="197" t="s">
        <v>414</v>
      </c>
      <c r="C963" s="197" t="s">
        <v>415</v>
      </c>
      <c r="D963" s="197" t="s">
        <v>414</v>
      </c>
      <c r="G963" s="197" t="s">
        <v>414</v>
      </c>
    </row>
    <row r="964" spans="1:7" ht="15">
      <c r="A964" s="197">
        <v>499</v>
      </c>
      <c r="B964" s="197" t="s">
        <v>416</v>
      </c>
      <c r="C964" s="197" t="s">
        <v>417</v>
      </c>
      <c r="D964" s="197" t="s">
        <v>416</v>
      </c>
      <c r="G964" s="197" t="s">
        <v>416</v>
      </c>
    </row>
    <row r="965" spans="1:7" ht="15">
      <c r="A965" s="197">
        <v>501</v>
      </c>
      <c r="B965" s="197" t="s">
        <v>418</v>
      </c>
      <c r="C965" s="197" t="s">
        <v>419</v>
      </c>
      <c r="D965" s="197" t="s">
        <v>418</v>
      </c>
      <c r="G965" s="197" t="s">
        <v>418</v>
      </c>
    </row>
    <row r="966" spans="1:7" ht="15">
      <c r="A966" s="197">
        <v>951</v>
      </c>
      <c r="B966" s="197" t="s">
        <v>420</v>
      </c>
      <c r="D966" s="197" t="s">
        <v>420</v>
      </c>
      <c r="G966" s="197" t="s">
        <v>420</v>
      </c>
    </row>
    <row r="967" spans="1:7" ht="15">
      <c r="A967" s="197">
        <v>1147</v>
      </c>
      <c r="B967" s="197" t="s">
        <v>421</v>
      </c>
      <c r="C967" s="197" t="s">
        <v>422</v>
      </c>
      <c r="D967" s="197" t="s">
        <v>421</v>
      </c>
      <c r="G967" s="197" t="s">
        <v>421</v>
      </c>
    </row>
    <row r="968" spans="1:7" ht="15">
      <c r="A968" s="197">
        <v>149</v>
      </c>
      <c r="B968" s="197" t="s">
        <v>423</v>
      </c>
      <c r="C968" s="197" t="s">
        <v>424</v>
      </c>
      <c r="D968" s="197" t="s">
        <v>423</v>
      </c>
      <c r="G968" s="197" t="s">
        <v>423</v>
      </c>
    </row>
    <row r="969" spans="1:7" ht="15">
      <c r="A969" s="197">
        <v>527</v>
      </c>
      <c r="B969" s="197" t="s">
        <v>425</v>
      </c>
      <c r="C969" s="197" t="s">
        <v>426</v>
      </c>
      <c r="D969" s="197" t="s">
        <v>425</v>
      </c>
      <c r="G969" s="197" t="s">
        <v>425</v>
      </c>
    </row>
    <row r="970" spans="1:7" ht="15">
      <c r="A970" s="197">
        <v>528</v>
      </c>
      <c r="B970" s="197" t="s">
        <v>427</v>
      </c>
      <c r="C970" s="197" t="s">
        <v>428</v>
      </c>
      <c r="D970" s="197" t="s">
        <v>427</v>
      </c>
      <c r="G970" s="197" t="s">
        <v>427</v>
      </c>
    </row>
    <row r="971" spans="1:7" ht="15">
      <c r="A971" s="197">
        <v>952</v>
      </c>
      <c r="B971" s="197" t="s">
        <v>429</v>
      </c>
      <c r="C971" s="197" t="s">
        <v>430</v>
      </c>
      <c r="D971" s="197" t="s">
        <v>429</v>
      </c>
      <c r="G971" s="197" t="s">
        <v>429</v>
      </c>
    </row>
    <row r="972" spans="1:7" ht="15">
      <c r="A972" s="197">
        <v>1145</v>
      </c>
      <c r="B972" s="197" t="s">
        <v>431</v>
      </c>
      <c r="D972" s="197" t="s">
        <v>431</v>
      </c>
      <c r="G972" s="197" t="s">
        <v>431</v>
      </c>
    </row>
    <row r="973" spans="1:7" ht="15">
      <c r="A973" s="197">
        <v>590</v>
      </c>
      <c r="B973" s="197" t="s">
        <v>432</v>
      </c>
      <c r="C973" s="197" t="s">
        <v>433</v>
      </c>
      <c r="D973" s="197" t="s">
        <v>432</v>
      </c>
      <c r="G973" s="197" t="s">
        <v>432</v>
      </c>
    </row>
    <row r="974" spans="1:7" ht="15">
      <c r="A974" s="197">
        <v>531</v>
      </c>
      <c r="B974" s="197" t="s">
        <v>434</v>
      </c>
      <c r="C974" s="197" t="s">
        <v>435</v>
      </c>
      <c r="D974" s="197" t="s">
        <v>434</v>
      </c>
      <c r="G974" s="197" t="s">
        <v>434</v>
      </c>
    </row>
    <row r="975" spans="1:7" ht="15">
      <c r="A975" s="197">
        <v>1143</v>
      </c>
      <c r="B975" s="197" t="s">
        <v>436</v>
      </c>
      <c r="C975" s="197" t="s">
        <v>437</v>
      </c>
      <c r="D975" s="197" t="s">
        <v>436</v>
      </c>
      <c r="G975" s="197" t="s">
        <v>436</v>
      </c>
    </row>
    <row r="976" spans="1:7" ht="15">
      <c r="A976" s="197">
        <v>532</v>
      </c>
      <c r="B976" s="197" t="s">
        <v>438</v>
      </c>
      <c r="C976" s="197" t="s">
        <v>439</v>
      </c>
      <c r="D976" s="197" t="s">
        <v>438</v>
      </c>
      <c r="G976" s="197" t="s">
        <v>438</v>
      </c>
    </row>
    <row r="977" spans="1:7" ht="15">
      <c r="A977" s="197">
        <v>1129</v>
      </c>
      <c r="B977" s="197" t="s">
        <v>440</v>
      </c>
      <c r="C977" s="197" t="s">
        <v>441</v>
      </c>
      <c r="D977" s="197" t="s">
        <v>440</v>
      </c>
      <c r="G977" s="197" t="s">
        <v>440</v>
      </c>
    </row>
    <row r="978" spans="1:7" ht="15">
      <c r="A978" s="197">
        <v>31</v>
      </c>
      <c r="B978" s="197" t="s">
        <v>442</v>
      </c>
      <c r="C978" s="197" t="s">
        <v>1226</v>
      </c>
      <c r="D978" s="197" t="s">
        <v>442</v>
      </c>
      <c r="G978" s="197" t="s">
        <v>442</v>
      </c>
    </row>
    <row r="979" spans="1:7" ht="15">
      <c r="A979" s="197">
        <v>1134</v>
      </c>
      <c r="B979" s="197" t="s">
        <v>443</v>
      </c>
      <c r="C979" s="197" t="s">
        <v>444</v>
      </c>
      <c r="D979" s="197" t="s">
        <v>443</v>
      </c>
      <c r="G979" s="197" t="s">
        <v>443</v>
      </c>
    </row>
    <row r="980" spans="1:7" ht="15">
      <c r="A980" s="197">
        <v>33</v>
      </c>
      <c r="B980" s="197" t="s">
        <v>445</v>
      </c>
      <c r="C980" s="197" t="s">
        <v>1227</v>
      </c>
      <c r="D980" s="197" t="s">
        <v>445</v>
      </c>
      <c r="G980" s="197" t="s">
        <v>445</v>
      </c>
    </row>
    <row r="981" spans="1:7" ht="15">
      <c r="A981" s="197">
        <v>533</v>
      </c>
      <c r="B981" s="197" t="s">
        <v>446</v>
      </c>
      <c r="C981" s="197" t="s">
        <v>447</v>
      </c>
      <c r="D981" s="197" t="s">
        <v>446</v>
      </c>
      <c r="G981" s="197" t="s">
        <v>446</v>
      </c>
    </row>
    <row r="982" spans="1:7" ht="15">
      <c r="A982" s="197">
        <v>534</v>
      </c>
      <c r="B982" s="197" t="s">
        <v>448</v>
      </c>
      <c r="C982" s="197" t="s">
        <v>449</v>
      </c>
      <c r="D982" s="197" t="s">
        <v>448</v>
      </c>
      <c r="G982" s="197" t="s">
        <v>448</v>
      </c>
    </row>
    <row r="983" spans="1:7" ht="15">
      <c r="A983" s="197">
        <v>535</v>
      </c>
      <c r="B983" s="197" t="s">
        <v>450</v>
      </c>
      <c r="C983" s="197" t="s">
        <v>451</v>
      </c>
      <c r="D983" s="197" t="s">
        <v>450</v>
      </c>
      <c r="G983" s="197" t="s">
        <v>450</v>
      </c>
    </row>
    <row r="984" spans="1:7" ht="15">
      <c r="A984" s="197">
        <v>1160</v>
      </c>
      <c r="B984" s="197" t="s">
        <v>452</v>
      </c>
      <c r="D984" s="197" t="s">
        <v>452</v>
      </c>
      <c r="G984" s="197" t="s">
        <v>452</v>
      </c>
    </row>
    <row r="985" spans="1:7" ht="15">
      <c r="A985" s="197">
        <v>953</v>
      </c>
      <c r="B985" s="197" t="s">
        <v>453</v>
      </c>
      <c r="C985" s="197" t="s">
        <v>454</v>
      </c>
      <c r="D985" s="197" t="s">
        <v>453</v>
      </c>
      <c r="G985" s="197" t="s">
        <v>453</v>
      </c>
    </row>
    <row r="986" spans="1:7" ht="15">
      <c r="A986" s="197">
        <v>536</v>
      </c>
      <c r="B986" s="197" t="s">
        <v>455</v>
      </c>
      <c r="D986" s="197" t="s">
        <v>455</v>
      </c>
      <c r="G986" s="197" t="s">
        <v>455</v>
      </c>
    </row>
    <row r="987" spans="1:7" ht="15">
      <c r="A987" s="197">
        <v>537</v>
      </c>
      <c r="B987" s="197" t="s">
        <v>456</v>
      </c>
      <c r="C987" s="197" t="s">
        <v>457</v>
      </c>
      <c r="D987" s="197" t="s">
        <v>456</v>
      </c>
      <c r="G987" s="197" t="s">
        <v>456</v>
      </c>
    </row>
    <row r="988" spans="1:7" ht="15">
      <c r="A988" s="197">
        <v>538</v>
      </c>
      <c r="B988" s="197" t="s">
        <v>782</v>
      </c>
      <c r="C988" s="197" t="s">
        <v>783</v>
      </c>
      <c r="D988" s="197" t="s">
        <v>782</v>
      </c>
      <c r="G988" s="197" t="s">
        <v>782</v>
      </c>
    </row>
    <row r="989" spans="1:7" ht="15">
      <c r="A989" s="197">
        <v>644</v>
      </c>
      <c r="B989" s="197" t="s">
        <v>458</v>
      </c>
      <c r="C989" s="197" t="s">
        <v>459</v>
      </c>
      <c r="D989" s="197" t="s">
        <v>458</v>
      </c>
      <c r="G989" s="197" t="s">
        <v>458</v>
      </c>
    </row>
    <row r="990" spans="1:7" ht="15">
      <c r="A990" s="197">
        <v>954</v>
      </c>
      <c r="B990" s="197" t="s">
        <v>460</v>
      </c>
      <c r="C990" s="197" t="s">
        <v>461</v>
      </c>
      <c r="D990" s="197" t="s">
        <v>460</v>
      </c>
      <c r="G990" s="197" t="s">
        <v>460</v>
      </c>
    </row>
    <row r="991" spans="1:7" ht="15">
      <c r="A991" s="197">
        <v>1139</v>
      </c>
      <c r="B991" s="197" t="s">
        <v>462</v>
      </c>
      <c r="C991" s="197" t="s">
        <v>463</v>
      </c>
      <c r="D991" s="197" t="s">
        <v>462</v>
      </c>
      <c r="G991" s="197" t="s">
        <v>462</v>
      </c>
    </row>
    <row r="992" spans="1:7" ht="15">
      <c r="A992" s="197">
        <v>1168</v>
      </c>
      <c r="B992" s="197" t="s">
        <v>464</v>
      </c>
      <c r="C992" s="197" t="s">
        <v>465</v>
      </c>
      <c r="D992" s="197" t="s">
        <v>464</v>
      </c>
      <c r="G992" s="197" t="s">
        <v>464</v>
      </c>
    </row>
    <row r="993" spans="1:7" ht="15">
      <c r="A993" s="197">
        <v>955</v>
      </c>
      <c r="B993" s="197" t="s">
        <v>466</v>
      </c>
      <c r="C993" s="197" t="s">
        <v>467</v>
      </c>
      <c r="D993" s="197" t="s">
        <v>466</v>
      </c>
      <c r="G993" s="197" t="s">
        <v>466</v>
      </c>
    </row>
    <row r="994" spans="1:7" ht="15">
      <c r="A994" s="197">
        <v>691</v>
      </c>
      <c r="B994" s="197" t="s">
        <v>468</v>
      </c>
      <c r="C994" s="197" t="s">
        <v>469</v>
      </c>
      <c r="D994" s="197" t="s">
        <v>468</v>
      </c>
      <c r="G994" s="197" t="s">
        <v>468</v>
      </c>
    </row>
    <row r="995" spans="1:7" ht="15">
      <c r="A995" s="197">
        <v>956</v>
      </c>
      <c r="B995" s="197" t="s">
        <v>470</v>
      </c>
      <c r="C995" s="197" t="s">
        <v>471</v>
      </c>
      <c r="D995" s="197" t="s">
        <v>470</v>
      </c>
      <c r="G995" s="197" t="s">
        <v>470</v>
      </c>
    </row>
    <row r="996" spans="1:7" ht="15">
      <c r="A996" s="197">
        <v>957</v>
      </c>
      <c r="B996" s="197" t="s">
        <v>472</v>
      </c>
      <c r="D996" s="197" t="s">
        <v>472</v>
      </c>
      <c r="G996" s="197" t="s">
        <v>472</v>
      </c>
    </row>
    <row r="997" spans="1:7" ht="15">
      <c r="A997" s="197">
        <v>958</v>
      </c>
      <c r="B997" s="197" t="s">
        <v>473</v>
      </c>
      <c r="C997" s="197" t="s">
        <v>474</v>
      </c>
      <c r="D997" s="197" t="s">
        <v>473</v>
      </c>
      <c r="G997" s="197" t="s">
        <v>473</v>
      </c>
    </row>
    <row r="998" spans="1:7" ht="15">
      <c r="A998" s="197">
        <v>959</v>
      </c>
      <c r="B998" s="197" t="s">
        <v>475</v>
      </c>
      <c r="C998" s="197" t="s">
        <v>476</v>
      </c>
      <c r="D998" s="197" t="s">
        <v>475</v>
      </c>
      <c r="G998" s="197" t="s">
        <v>475</v>
      </c>
    </row>
    <row r="999" spans="1:7" ht="15">
      <c r="A999" s="197">
        <v>960</v>
      </c>
      <c r="B999" s="197" t="s">
        <v>477</v>
      </c>
      <c r="C999" s="197" t="s">
        <v>478</v>
      </c>
      <c r="D999" s="197" t="s">
        <v>477</v>
      </c>
      <c r="G999" s="197" t="s">
        <v>477</v>
      </c>
    </row>
    <row r="1000" spans="1:7" ht="15">
      <c r="A1000" s="197">
        <v>690</v>
      </c>
      <c r="B1000" s="197" t="s">
        <v>479</v>
      </c>
      <c r="C1000" s="197" t="s">
        <v>480</v>
      </c>
      <c r="D1000" s="197" t="s">
        <v>479</v>
      </c>
      <c r="G1000" s="197" t="s">
        <v>479</v>
      </c>
    </row>
    <row r="1001" spans="1:7" ht="15">
      <c r="A1001" s="197">
        <v>961</v>
      </c>
      <c r="B1001" s="197" t="s">
        <v>481</v>
      </c>
      <c r="C1001" s="197" t="s">
        <v>482</v>
      </c>
      <c r="D1001" s="197" t="s">
        <v>481</v>
      </c>
      <c r="G1001" s="197" t="s">
        <v>481</v>
      </c>
    </row>
    <row r="1002" spans="1:7" ht="15">
      <c r="A1002" s="197">
        <v>962</v>
      </c>
      <c r="B1002" s="197" t="s">
        <v>483</v>
      </c>
      <c r="C1002" s="197" t="s">
        <v>484</v>
      </c>
      <c r="D1002" s="197" t="s">
        <v>483</v>
      </c>
      <c r="G1002" s="197" t="s">
        <v>483</v>
      </c>
    </row>
    <row r="1003" spans="1:7" ht="15">
      <c r="A1003" s="197">
        <v>963</v>
      </c>
      <c r="B1003" s="197" t="s">
        <v>485</v>
      </c>
      <c r="C1003" s="197" t="s">
        <v>486</v>
      </c>
      <c r="D1003" s="197" t="s">
        <v>485</v>
      </c>
      <c r="G1003" s="197" t="s">
        <v>485</v>
      </c>
    </row>
    <row r="1004" spans="1:7" ht="15">
      <c r="A1004" s="197">
        <v>1135</v>
      </c>
      <c r="B1004" s="197" t="s">
        <v>487</v>
      </c>
      <c r="C1004" s="197" t="s">
        <v>488</v>
      </c>
      <c r="D1004" s="197" t="s">
        <v>487</v>
      </c>
      <c r="G1004" s="197" t="s">
        <v>487</v>
      </c>
    </row>
    <row r="1005" spans="1:7" ht="15">
      <c r="A1005" s="197">
        <v>964</v>
      </c>
      <c r="B1005" s="197" t="s">
        <v>489</v>
      </c>
      <c r="D1005" s="197" t="s">
        <v>489</v>
      </c>
      <c r="G1005" s="197" t="s">
        <v>489</v>
      </c>
    </row>
    <row r="1006" spans="1:7" ht="15">
      <c r="A1006" s="197">
        <v>540</v>
      </c>
      <c r="B1006" s="197" t="s">
        <v>490</v>
      </c>
      <c r="C1006" s="197" t="s">
        <v>491</v>
      </c>
      <c r="D1006" s="197" t="s">
        <v>490</v>
      </c>
      <c r="G1006" s="197" t="s">
        <v>490</v>
      </c>
    </row>
    <row r="1007" spans="1:7" ht="15">
      <c r="A1007" s="197">
        <v>965</v>
      </c>
      <c r="B1007" s="197" t="s">
        <v>492</v>
      </c>
      <c r="D1007" s="197" t="s">
        <v>492</v>
      </c>
      <c r="G1007" s="197" t="s">
        <v>492</v>
      </c>
    </row>
    <row r="1008" spans="1:7" ht="15">
      <c r="A1008" s="197">
        <v>966</v>
      </c>
      <c r="B1008" s="197" t="s">
        <v>493</v>
      </c>
      <c r="D1008" s="197" t="s">
        <v>493</v>
      </c>
      <c r="G1008" s="197" t="s">
        <v>493</v>
      </c>
    </row>
    <row r="1009" spans="1:7" ht="15">
      <c r="A1009" s="197">
        <v>113</v>
      </c>
      <c r="B1009" s="197" t="s">
        <v>494</v>
      </c>
      <c r="C1009" s="197" t="s">
        <v>495</v>
      </c>
      <c r="D1009" s="197" t="s">
        <v>494</v>
      </c>
      <c r="G1009" s="197" t="s">
        <v>494</v>
      </c>
    </row>
    <row r="1010" spans="1:7" ht="15">
      <c r="A1010" s="197">
        <v>967</v>
      </c>
      <c r="B1010" s="197" t="s">
        <v>496</v>
      </c>
      <c r="C1010" s="197" t="s">
        <v>497</v>
      </c>
      <c r="D1010" s="197" t="s">
        <v>496</v>
      </c>
      <c r="G1010" s="197" t="s">
        <v>496</v>
      </c>
    </row>
    <row r="1011" spans="1:7" ht="15">
      <c r="A1011" s="197">
        <v>968</v>
      </c>
      <c r="B1011" s="197" t="s">
        <v>498</v>
      </c>
      <c r="D1011" s="197" t="s">
        <v>498</v>
      </c>
      <c r="G1011" s="197" t="s">
        <v>498</v>
      </c>
    </row>
    <row r="1012" spans="1:7" ht="15">
      <c r="A1012" s="197">
        <v>1131</v>
      </c>
      <c r="B1012" s="197" t="s">
        <v>499</v>
      </c>
      <c r="C1012" s="197" t="s">
        <v>500</v>
      </c>
      <c r="D1012" s="197" t="s">
        <v>499</v>
      </c>
      <c r="G1012" s="197" t="s">
        <v>499</v>
      </c>
    </row>
    <row r="1013" spans="1:7" ht="15">
      <c r="A1013" s="197">
        <v>1166</v>
      </c>
      <c r="B1013" s="197" t="s">
        <v>501</v>
      </c>
      <c r="C1013" s="197" t="s">
        <v>502</v>
      </c>
      <c r="D1013" s="197" t="s">
        <v>501</v>
      </c>
      <c r="G1013" s="197" t="s">
        <v>501</v>
      </c>
    </row>
    <row r="1014" spans="1:7" ht="15">
      <c r="A1014" s="197">
        <v>544</v>
      </c>
      <c r="B1014" s="197" t="s">
        <v>503</v>
      </c>
      <c r="C1014" s="197" t="s">
        <v>504</v>
      </c>
      <c r="D1014" s="197" t="s">
        <v>503</v>
      </c>
      <c r="G1014" s="197" t="s">
        <v>503</v>
      </c>
    </row>
    <row r="1015" spans="1:7" ht="15">
      <c r="A1015" s="197">
        <v>545</v>
      </c>
      <c r="B1015" s="197" t="s">
        <v>505</v>
      </c>
      <c r="C1015" s="197" t="s">
        <v>506</v>
      </c>
      <c r="D1015" s="197" t="s">
        <v>505</v>
      </c>
      <c r="G1015" s="197" t="s">
        <v>505</v>
      </c>
    </row>
    <row r="1016" spans="1:7" ht="15">
      <c r="A1016" s="197">
        <v>543</v>
      </c>
      <c r="B1016" s="197" t="s">
        <v>507</v>
      </c>
      <c r="C1016" s="197" t="s">
        <v>508</v>
      </c>
      <c r="D1016" s="197" t="s">
        <v>507</v>
      </c>
      <c r="G1016" s="197" t="s">
        <v>507</v>
      </c>
    </row>
    <row r="1017" spans="1:7" ht="15">
      <c r="A1017" s="197">
        <v>546</v>
      </c>
      <c r="B1017" s="197" t="s">
        <v>509</v>
      </c>
      <c r="C1017" s="197" t="s">
        <v>510</v>
      </c>
      <c r="D1017" s="197" t="s">
        <v>509</v>
      </c>
      <c r="G1017" s="197" t="s">
        <v>509</v>
      </c>
    </row>
    <row r="1018" spans="1:7" ht="15">
      <c r="A1018" s="197">
        <v>969</v>
      </c>
      <c r="B1018" s="197" t="s">
        <v>511</v>
      </c>
      <c r="C1018" s="197" t="s">
        <v>512</v>
      </c>
      <c r="D1018" s="197" t="s">
        <v>511</v>
      </c>
      <c r="G1018" s="197" t="s">
        <v>511</v>
      </c>
    </row>
    <row r="1019" spans="1:7" ht="15">
      <c r="A1019" s="197">
        <v>541</v>
      </c>
      <c r="B1019" s="197" t="s">
        <v>513</v>
      </c>
      <c r="C1019" s="197" t="s">
        <v>514</v>
      </c>
      <c r="D1019" s="197" t="s">
        <v>513</v>
      </c>
      <c r="G1019" s="197" t="s">
        <v>513</v>
      </c>
    </row>
    <row r="1020" spans="1:7" ht="15">
      <c r="A1020" s="197">
        <v>648</v>
      </c>
      <c r="B1020" s="197" t="s">
        <v>515</v>
      </c>
      <c r="C1020" s="197" t="s">
        <v>516</v>
      </c>
      <c r="D1020" s="197" t="s">
        <v>515</v>
      </c>
      <c r="G1020" s="197" t="s">
        <v>515</v>
      </c>
    </row>
    <row r="1021" spans="1:7" ht="15">
      <c r="A1021" s="197">
        <v>548</v>
      </c>
      <c r="B1021" s="197" t="s">
        <v>517</v>
      </c>
      <c r="C1021" s="197" t="s">
        <v>518</v>
      </c>
      <c r="D1021" s="197" t="s">
        <v>517</v>
      </c>
      <c r="G1021" s="197" t="s">
        <v>517</v>
      </c>
    </row>
    <row r="1022" spans="1:7" ht="15">
      <c r="A1022" s="197">
        <v>970</v>
      </c>
      <c r="B1022" s="197" t="s">
        <v>519</v>
      </c>
      <c r="D1022" s="197" t="s">
        <v>519</v>
      </c>
      <c r="G1022" s="197" t="s">
        <v>519</v>
      </c>
    </row>
    <row r="1023" spans="1:7" ht="15">
      <c r="A1023" s="197">
        <v>971</v>
      </c>
      <c r="B1023" s="197" t="s">
        <v>520</v>
      </c>
      <c r="D1023" s="197" t="s">
        <v>520</v>
      </c>
      <c r="G1023" s="197" t="s">
        <v>520</v>
      </c>
    </row>
    <row r="1024" spans="1:7" ht="15">
      <c r="A1024" s="197">
        <v>549</v>
      </c>
      <c r="B1024" s="197" t="s">
        <v>631</v>
      </c>
      <c r="C1024" s="197" t="s">
        <v>521</v>
      </c>
      <c r="D1024" s="197" t="s">
        <v>631</v>
      </c>
      <c r="G1024" s="197" t="s">
        <v>631</v>
      </c>
    </row>
    <row r="1025" spans="1:7" ht="15">
      <c r="A1025" s="197">
        <v>972</v>
      </c>
      <c r="B1025" s="197" t="s">
        <v>522</v>
      </c>
      <c r="C1025" s="197" t="s">
        <v>523</v>
      </c>
      <c r="D1025" s="197" t="s">
        <v>522</v>
      </c>
      <c r="G1025" s="197" t="s">
        <v>522</v>
      </c>
    </row>
    <row r="1026" spans="1:7" ht="15">
      <c r="A1026" s="197">
        <v>973</v>
      </c>
      <c r="B1026" s="197" t="s">
        <v>524</v>
      </c>
      <c r="C1026" s="197" t="s">
        <v>525</v>
      </c>
      <c r="D1026" s="197" t="s">
        <v>524</v>
      </c>
      <c r="G1026" s="197" t="s">
        <v>524</v>
      </c>
    </row>
    <row r="1027" spans="1:7" ht="15">
      <c r="A1027" s="197">
        <v>552</v>
      </c>
      <c r="B1027" s="197" t="s">
        <v>526</v>
      </c>
      <c r="C1027" s="197" t="s">
        <v>527</v>
      </c>
      <c r="D1027" s="197" t="s">
        <v>526</v>
      </c>
      <c r="G1027" s="197" t="s">
        <v>526</v>
      </c>
    </row>
    <row r="1028" spans="1:7" ht="15">
      <c r="A1028" s="197">
        <v>974</v>
      </c>
      <c r="B1028" s="197" t="s">
        <v>528</v>
      </c>
      <c r="C1028" s="197" t="s">
        <v>529</v>
      </c>
      <c r="D1028" s="197" t="s">
        <v>528</v>
      </c>
      <c r="G1028" s="197" t="s">
        <v>528</v>
      </c>
    </row>
    <row r="1029" spans="1:7" ht="15">
      <c r="A1029" s="197">
        <v>975</v>
      </c>
      <c r="B1029" s="197" t="s">
        <v>530</v>
      </c>
      <c r="C1029" s="197" t="s">
        <v>531</v>
      </c>
      <c r="D1029" s="197" t="s">
        <v>530</v>
      </c>
      <c r="G1029" s="197" t="s">
        <v>530</v>
      </c>
    </row>
    <row r="1030" spans="1:7" ht="15">
      <c r="A1030" s="197">
        <v>197</v>
      </c>
      <c r="B1030" s="197" t="s">
        <v>532</v>
      </c>
      <c r="C1030" s="197" t="s">
        <v>533</v>
      </c>
      <c r="D1030" s="197" t="s">
        <v>532</v>
      </c>
      <c r="G1030" s="197" t="s">
        <v>532</v>
      </c>
    </row>
    <row r="1031" spans="1:7" ht="15">
      <c r="A1031" s="197">
        <v>198</v>
      </c>
      <c r="B1031" s="197" t="s">
        <v>534</v>
      </c>
      <c r="C1031" s="197" t="s">
        <v>535</v>
      </c>
      <c r="D1031" s="197" t="s">
        <v>534</v>
      </c>
      <c r="G1031" s="197" t="s">
        <v>534</v>
      </c>
    </row>
    <row r="1032" spans="1:7" ht="15">
      <c r="A1032" s="197">
        <v>553</v>
      </c>
      <c r="B1032" s="197" t="s">
        <v>536</v>
      </c>
      <c r="C1032" s="197" t="s">
        <v>1153</v>
      </c>
      <c r="D1032" s="197" t="s">
        <v>536</v>
      </c>
      <c r="G1032" s="197" t="s">
        <v>536</v>
      </c>
    </row>
    <row r="1033" spans="1:7" ht="15">
      <c r="A1033" s="197">
        <v>199</v>
      </c>
      <c r="B1033" s="197" t="s">
        <v>537</v>
      </c>
      <c r="C1033" s="197" t="s">
        <v>538</v>
      </c>
      <c r="D1033" s="197" t="s">
        <v>537</v>
      </c>
      <c r="G1033" s="197" t="s">
        <v>537</v>
      </c>
    </row>
    <row r="1034" spans="1:7" ht="15">
      <c r="A1034" s="197">
        <v>1171</v>
      </c>
      <c r="B1034" s="197" t="s">
        <v>539</v>
      </c>
      <c r="C1034" s="197" t="s">
        <v>540</v>
      </c>
      <c r="D1034" s="197" t="s">
        <v>539</v>
      </c>
      <c r="G1034" s="197" t="s">
        <v>539</v>
      </c>
    </row>
    <row r="1035" spans="1:7" ht="15">
      <c r="A1035" s="197">
        <v>1170</v>
      </c>
      <c r="B1035" s="197" t="s">
        <v>541</v>
      </c>
      <c r="C1035" s="197" t="s">
        <v>542</v>
      </c>
      <c r="D1035" s="197" t="s">
        <v>541</v>
      </c>
      <c r="G1035" s="197" t="s">
        <v>541</v>
      </c>
    </row>
    <row r="1036" spans="1:7" ht="15">
      <c r="A1036" s="197">
        <v>554</v>
      </c>
      <c r="B1036" s="197" t="s">
        <v>543</v>
      </c>
      <c r="C1036" s="197" t="s">
        <v>544</v>
      </c>
      <c r="D1036" s="197" t="s">
        <v>543</v>
      </c>
      <c r="G1036" s="197" t="s">
        <v>543</v>
      </c>
    </row>
    <row r="1037" spans="1:7" ht="15">
      <c r="A1037" s="197">
        <v>556</v>
      </c>
      <c r="B1037" s="197" t="s">
        <v>682</v>
      </c>
      <c r="C1037" s="197" t="s">
        <v>683</v>
      </c>
      <c r="D1037" s="197" t="s">
        <v>682</v>
      </c>
      <c r="G1037" s="197" t="s">
        <v>682</v>
      </c>
    </row>
    <row r="1038" spans="1:7" ht="15">
      <c r="A1038" s="197">
        <v>1155</v>
      </c>
      <c r="B1038" s="197" t="s">
        <v>545</v>
      </c>
      <c r="D1038" s="197" t="s">
        <v>545</v>
      </c>
      <c r="G1038" s="197" t="s">
        <v>545</v>
      </c>
    </row>
    <row r="1039" spans="1:7" ht="15">
      <c r="A1039" s="197">
        <v>976</v>
      </c>
      <c r="B1039" s="197" t="s">
        <v>546</v>
      </c>
      <c r="C1039" s="197" t="s">
        <v>547</v>
      </c>
      <c r="D1039" s="197" t="s">
        <v>546</v>
      </c>
      <c r="G1039" s="197" t="s">
        <v>546</v>
      </c>
    </row>
    <row r="1040" spans="1:7" ht="15">
      <c r="A1040" s="197">
        <v>1167</v>
      </c>
      <c r="B1040" s="197" t="s">
        <v>548</v>
      </c>
      <c r="D1040" s="197" t="s">
        <v>548</v>
      </c>
      <c r="G1040" s="197" t="s">
        <v>548</v>
      </c>
    </row>
    <row r="1041" spans="1:7" ht="15">
      <c r="A1041" s="197">
        <v>558</v>
      </c>
      <c r="B1041" s="197" t="s">
        <v>549</v>
      </c>
      <c r="C1041" s="197" t="s">
        <v>550</v>
      </c>
      <c r="D1041" s="197" t="s">
        <v>549</v>
      </c>
      <c r="G1041" s="197" t="s">
        <v>549</v>
      </c>
    </row>
    <row r="1042" spans="1:7" ht="15">
      <c r="A1042" s="197">
        <v>977</v>
      </c>
      <c r="B1042" s="197" t="s">
        <v>551</v>
      </c>
      <c r="D1042" s="197" t="s">
        <v>551</v>
      </c>
      <c r="G1042" s="197" t="s">
        <v>551</v>
      </c>
    </row>
    <row r="1043" spans="1:7" ht="15">
      <c r="A1043" s="197">
        <v>978</v>
      </c>
      <c r="B1043" s="197" t="s">
        <v>552</v>
      </c>
      <c r="C1043" s="197" t="s">
        <v>553</v>
      </c>
      <c r="D1043" s="197" t="s">
        <v>552</v>
      </c>
      <c r="G1043" s="197" t="s">
        <v>552</v>
      </c>
    </row>
    <row r="1044" spans="1:7" ht="15">
      <c r="A1044" s="197">
        <v>1091</v>
      </c>
      <c r="B1044" s="197" t="s">
        <v>554</v>
      </c>
      <c r="D1044" s="197" t="s">
        <v>554</v>
      </c>
      <c r="G1044" s="197" t="s">
        <v>554</v>
      </c>
    </row>
    <row r="1045" spans="1:7" ht="15">
      <c r="A1045" s="197">
        <v>559</v>
      </c>
      <c r="B1045" s="197" t="s">
        <v>555</v>
      </c>
      <c r="C1045" s="197" t="s">
        <v>747</v>
      </c>
      <c r="D1045" s="197" t="s">
        <v>555</v>
      </c>
      <c r="G1045" s="197" t="s">
        <v>555</v>
      </c>
    </row>
    <row r="1046" spans="1:7" ht="15">
      <c r="A1046" s="197">
        <v>560</v>
      </c>
      <c r="B1046" s="197" t="s">
        <v>1263</v>
      </c>
      <c r="C1046" s="197" t="s">
        <v>1264</v>
      </c>
      <c r="D1046" s="197" t="s">
        <v>1263</v>
      </c>
      <c r="G1046" s="197" t="s">
        <v>1263</v>
      </c>
    </row>
    <row r="1047" spans="1:7" ht="15">
      <c r="A1047" s="197">
        <v>442</v>
      </c>
      <c r="B1047" s="197" t="s">
        <v>556</v>
      </c>
      <c r="C1047" s="197" t="s">
        <v>557</v>
      </c>
      <c r="D1047" s="197" t="s">
        <v>556</v>
      </c>
      <c r="G1047" s="197" t="s">
        <v>556</v>
      </c>
    </row>
    <row r="1048" spans="1:7" ht="15">
      <c r="A1048" s="197">
        <v>1162</v>
      </c>
      <c r="B1048" s="197" t="s">
        <v>558</v>
      </c>
      <c r="C1048" s="197" t="s">
        <v>559</v>
      </c>
      <c r="D1048" s="197" t="s">
        <v>558</v>
      </c>
      <c r="G1048" s="197" t="s">
        <v>558</v>
      </c>
    </row>
    <row r="1049" spans="1:7" ht="15">
      <c r="A1049" s="197">
        <v>980</v>
      </c>
      <c r="B1049" s="197" t="s">
        <v>560</v>
      </c>
      <c r="D1049" s="197" t="s">
        <v>560</v>
      </c>
      <c r="G1049" s="197" t="s">
        <v>560</v>
      </c>
    </row>
    <row r="1050" spans="1:7" ht="15">
      <c r="A1050" s="197">
        <v>616</v>
      </c>
      <c r="B1050" s="197" t="s">
        <v>561</v>
      </c>
      <c r="C1050" s="197" t="s">
        <v>562</v>
      </c>
      <c r="D1050" s="197" t="s">
        <v>561</v>
      </c>
      <c r="G1050" s="197" t="s">
        <v>561</v>
      </c>
    </row>
    <row r="1051" spans="1:7" ht="15">
      <c r="A1051" s="197">
        <v>981</v>
      </c>
      <c r="B1051" s="197" t="s">
        <v>563</v>
      </c>
      <c r="C1051" s="197" t="s">
        <v>564</v>
      </c>
      <c r="D1051" s="197" t="s">
        <v>563</v>
      </c>
      <c r="G1051" s="197" t="s">
        <v>563</v>
      </c>
    </row>
    <row r="1052" spans="1:7" ht="15">
      <c r="A1052" s="197">
        <v>982</v>
      </c>
      <c r="B1052" s="197" t="s">
        <v>565</v>
      </c>
      <c r="C1052" s="197" t="s">
        <v>566</v>
      </c>
      <c r="D1052" s="197" t="s">
        <v>565</v>
      </c>
      <c r="G1052" s="197" t="s">
        <v>565</v>
      </c>
    </row>
    <row r="1053" spans="1:7" ht="15">
      <c r="A1053" s="197">
        <v>1159</v>
      </c>
      <c r="B1053" s="197" t="s">
        <v>567</v>
      </c>
      <c r="C1053" s="197" t="s">
        <v>568</v>
      </c>
      <c r="D1053" s="197" t="s">
        <v>567</v>
      </c>
      <c r="G1053" s="197" t="s">
        <v>567</v>
      </c>
    </row>
    <row r="1054" spans="1:7" ht="15">
      <c r="A1054" s="197">
        <v>983</v>
      </c>
      <c r="B1054" s="197" t="s">
        <v>569</v>
      </c>
      <c r="C1054" s="197" t="s">
        <v>570</v>
      </c>
      <c r="D1054" s="197" t="s">
        <v>569</v>
      </c>
      <c r="G1054" s="197" t="s">
        <v>569</v>
      </c>
    </row>
    <row r="1055" spans="1:7" ht="15">
      <c r="A1055" s="197">
        <v>984</v>
      </c>
      <c r="B1055" s="197" t="s">
        <v>571</v>
      </c>
      <c r="C1055" s="197" t="s">
        <v>572</v>
      </c>
      <c r="D1055" s="197" t="s">
        <v>571</v>
      </c>
      <c r="G1055" s="197" t="s">
        <v>571</v>
      </c>
    </row>
    <row r="1056" spans="1:7" ht="15">
      <c r="A1056" s="197">
        <v>682</v>
      </c>
      <c r="B1056" s="197" t="s">
        <v>573</v>
      </c>
      <c r="C1056" s="197" t="s">
        <v>574</v>
      </c>
      <c r="D1056" s="197" t="s">
        <v>573</v>
      </c>
      <c r="G1056" s="197" t="s">
        <v>573</v>
      </c>
    </row>
    <row r="1057" spans="1:7" ht="15">
      <c r="A1057" s="197">
        <v>564</v>
      </c>
      <c r="B1057" s="197" t="s">
        <v>748</v>
      </c>
      <c r="C1057" s="197" t="s">
        <v>1228</v>
      </c>
      <c r="D1057" s="197" t="s">
        <v>748</v>
      </c>
      <c r="G1057" s="197" t="s">
        <v>748</v>
      </c>
    </row>
    <row r="1058" spans="1:7" ht="15">
      <c r="A1058" s="197">
        <v>565</v>
      </c>
      <c r="B1058" s="197" t="s">
        <v>575</v>
      </c>
      <c r="C1058" s="197" t="s">
        <v>576</v>
      </c>
      <c r="D1058" s="197" t="s">
        <v>575</v>
      </c>
      <c r="G1058" s="197" t="s">
        <v>575</v>
      </c>
    </row>
    <row r="1059" spans="1:7" ht="15">
      <c r="A1059" s="197">
        <v>985</v>
      </c>
      <c r="B1059" s="197" t="s">
        <v>577</v>
      </c>
      <c r="C1059" s="197" t="s">
        <v>578</v>
      </c>
      <c r="D1059" s="197" t="s">
        <v>577</v>
      </c>
      <c r="G1059" s="197" t="s">
        <v>577</v>
      </c>
    </row>
    <row r="1060" spans="1:7" ht="15">
      <c r="A1060" s="197">
        <v>581</v>
      </c>
      <c r="B1060" s="197" t="s">
        <v>579</v>
      </c>
      <c r="C1060" s="197" t="s">
        <v>580</v>
      </c>
      <c r="D1060" s="197" t="s">
        <v>579</v>
      </c>
      <c r="G1060" s="197" t="s">
        <v>579</v>
      </c>
    </row>
    <row r="1061" spans="1:7" ht="15">
      <c r="A1061" s="197">
        <v>1064</v>
      </c>
      <c r="B1061" s="197" t="s">
        <v>581</v>
      </c>
      <c r="C1061" s="197" t="s">
        <v>582</v>
      </c>
      <c r="D1061" s="197" t="s">
        <v>581</v>
      </c>
      <c r="G1061" s="197" t="s">
        <v>581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Cadee</dc:creator>
  <cp:keywords/>
  <dc:description/>
  <cp:lastModifiedBy>fap</cp:lastModifiedBy>
  <cp:lastPrinted>2019-10-01T09:44:32Z</cp:lastPrinted>
  <dcterms:created xsi:type="dcterms:W3CDTF">2014-05-21T13:35:40Z</dcterms:created>
  <dcterms:modified xsi:type="dcterms:W3CDTF">2020-02-20T22:06:37Z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